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●共有\保険税係\【ホームページ関係】\"/>
    </mc:Choice>
  </mc:AlternateContent>
  <xr:revisionPtr revIDLastSave="0" documentId="8_{E34A162E-C18A-456D-8176-8E2DAA79C1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国民健康保険税　試算シート" sheetId="3" r:id="rId1"/>
    <sheet name="入力例（入力箇所は赤字で表示）" sheetId="4" r:id="rId2"/>
  </sheets>
  <definedNames>
    <definedName name="_xlnm.Print_Area" localSheetId="0">'国民健康保険税　試算シート'!$A$1:$AA$47</definedName>
    <definedName name="_xlnm.Print_Area" localSheetId="1">'入力例（入力箇所は赤字で表示）'!$A$1:$Z$45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3" l="1"/>
  <c r="H6" i="3"/>
  <c r="H7" i="3"/>
  <c r="H8" i="3"/>
  <c r="H9" i="3"/>
  <c r="H4" i="3"/>
  <c r="D5" i="3" l="1"/>
  <c r="D6" i="3"/>
  <c r="D7" i="3"/>
  <c r="D8" i="3"/>
  <c r="D9" i="3"/>
  <c r="D4" i="3"/>
  <c r="D4" i="4"/>
  <c r="L17" i="3" l="1"/>
  <c r="M17" i="3"/>
  <c r="N17" i="3"/>
  <c r="O17" i="3"/>
  <c r="P17" i="3"/>
  <c r="Q17" i="3"/>
  <c r="R17" i="3"/>
  <c r="S17" i="3"/>
  <c r="T17" i="3"/>
  <c r="U17" i="3"/>
  <c r="V17" i="3"/>
  <c r="W17" i="3"/>
  <c r="J4" i="4"/>
  <c r="J5" i="4"/>
  <c r="B43" i="4" l="1"/>
  <c r="D43" i="4" s="1"/>
  <c r="B42" i="4"/>
  <c r="G42" i="4" s="1"/>
  <c r="B41" i="4"/>
  <c r="B40" i="4"/>
  <c r="B39" i="4"/>
  <c r="B38" i="4"/>
  <c r="W29" i="4"/>
  <c r="V29" i="4"/>
  <c r="U29" i="4"/>
  <c r="T29" i="4"/>
  <c r="S29" i="4"/>
  <c r="R29" i="4"/>
  <c r="Q29" i="4"/>
  <c r="P29" i="4"/>
  <c r="O29" i="4"/>
  <c r="N29" i="4"/>
  <c r="M29" i="4"/>
  <c r="L29" i="4"/>
  <c r="W28" i="4"/>
  <c r="V28" i="4"/>
  <c r="U28" i="4"/>
  <c r="T28" i="4"/>
  <c r="S28" i="4"/>
  <c r="R28" i="4"/>
  <c r="Q28" i="4"/>
  <c r="P28" i="4"/>
  <c r="O28" i="4"/>
  <c r="N28" i="4"/>
  <c r="M28" i="4"/>
  <c r="L28" i="4"/>
  <c r="W16" i="4"/>
  <c r="W26" i="4" s="1"/>
  <c r="V16" i="4"/>
  <c r="V27" i="4" s="1"/>
  <c r="U16" i="4"/>
  <c r="U27" i="4" s="1"/>
  <c r="T16" i="4"/>
  <c r="T27" i="4" s="1"/>
  <c r="S16" i="4"/>
  <c r="S25" i="4" s="1"/>
  <c r="R16" i="4"/>
  <c r="R27" i="4" s="1"/>
  <c r="Q16" i="4"/>
  <c r="Q27" i="4" s="1"/>
  <c r="P16" i="4"/>
  <c r="P27" i="4" s="1"/>
  <c r="O16" i="4"/>
  <c r="O24" i="4" s="1"/>
  <c r="N16" i="4"/>
  <c r="N27" i="4" s="1"/>
  <c r="M16" i="4"/>
  <c r="M27" i="4" s="1"/>
  <c r="L16" i="4"/>
  <c r="L27" i="4" s="1"/>
  <c r="K16" i="4"/>
  <c r="H7" i="4" s="1"/>
  <c r="K13" i="4"/>
  <c r="K12" i="4"/>
  <c r="N11" i="4" s="1"/>
  <c r="R11" i="4"/>
  <c r="X9" i="4"/>
  <c r="O23" i="4" s="1"/>
  <c r="J9" i="4"/>
  <c r="H9" i="4"/>
  <c r="D9" i="4"/>
  <c r="X8" i="4"/>
  <c r="J8" i="4"/>
  <c r="H8" i="4"/>
  <c r="D8" i="4"/>
  <c r="X7" i="4"/>
  <c r="J7" i="4"/>
  <c r="D7" i="4"/>
  <c r="X6" i="4"/>
  <c r="J6" i="4"/>
  <c r="D6" i="4"/>
  <c r="X5" i="4"/>
  <c r="D5" i="4"/>
  <c r="X4" i="4"/>
  <c r="N18" i="4"/>
  <c r="L13" i="3"/>
  <c r="N12" i="4" l="1"/>
  <c r="N13" i="4"/>
  <c r="N23" i="4"/>
  <c r="O22" i="4"/>
  <c r="O19" i="4"/>
  <c r="C42" i="4"/>
  <c r="D42" i="4"/>
  <c r="E43" i="4"/>
  <c r="W25" i="4"/>
  <c r="W24" i="4"/>
  <c r="O26" i="4"/>
  <c r="S27" i="4"/>
  <c r="K29" i="4"/>
  <c r="P23" i="4" s="1"/>
  <c r="H6" i="4"/>
  <c r="O25" i="4"/>
  <c r="S26" i="4"/>
  <c r="W27" i="4"/>
  <c r="S24" i="4"/>
  <c r="O27" i="4"/>
  <c r="H4" i="4"/>
  <c r="H5" i="4"/>
  <c r="L24" i="4"/>
  <c r="P24" i="4"/>
  <c r="T24" i="4"/>
  <c r="L25" i="4"/>
  <c r="P25" i="4"/>
  <c r="T25" i="4"/>
  <c r="L26" i="4"/>
  <c r="P26" i="4"/>
  <c r="T26" i="4"/>
  <c r="K28" i="4"/>
  <c r="P22" i="4" s="1"/>
  <c r="M24" i="4"/>
  <c r="Q24" i="4"/>
  <c r="U24" i="4"/>
  <c r="M25" i="4"/>
  <c r="Q25" i="4"/>
  <c r="U25" i="4"/>
  <c r="M26" i="4"/>
  <c r="Q26" i="4"/>
  <c r="U26" i="4"/>
  <c r="N24" i="4"/>
  <c r="R24" i="4"/>
  <c r="V24" i="4"/>
  <c r="N25" i="4"/>
  <c r="R25" i="4"/>
  <c r="V25" i="4"/>
  <c r="N26" i="4"/>
  <c r="R26" i="4"/>
  <c r="V26" i="4"/>
  <c r="O20" i="4"/>
  <c r="O21" i="4"/>
  <c r="N21" i="4"/>
  <c r="N19" i="4"/>
  <c r="O18" i="4"/>
  <c r="G43" i="4"/>
  <c r="N20" i="4"/>
  <c r="N22" i="4"/>
  <c r="E42" i="4"/>
  <c r="C43" i="4"/>
  <c r="K27" i="4" l="1"/>
  <c r="P21" i="4" s="1"/>
  <c r="C41" i="4" s="1"/>
  <c r="K26" i="4"/>
  <c r="P20" i="4" s="1"/>
  <c r="C40" i="4" s="1"/>
  <c r="K25" i="4"/>
  <c r="P19" i="4" s="1"/>
  <c r="C39" i="4" s="1"/>
  <c r="K24" i="4"/>
  <c r="P18" i="4" s="1"/>
  <c r="C38" i="4" s="1"/>
  <c r="K11" i="4"/>
  <c r="K18" i="4" s="1"/>
  <c r="Y4" i="3"/>
  <c r="Q19" i="3" l="1"/>
  <c r="T19" i="3"/>
  <c r="C32" i="4"/>
  <c r="M19" i="4"/>
  <c r="L18" i="4"/>
  <c r="L19" i="4"/>
  <c r="L20" i="4"/>
  <c r="S18" i="4"/>
  <c r="L22" i="4"/>
  <c r="M21" i="4"/>
  <c r="M20" i="4"/>
  <c r="R18" i="4"/>
  <c r="M23" i="4"/>
  <c r="Q18" i="4"/>
  <c r="M18" i="4"/>
  <c r="K20" i="4"/>
  <c r="K19" i="4"/>
  <c r="M22" i="4"/>
  <c r="K21" i="4"/>
  <c r="L21" i="4"/>
  <c r="L23" i="4"/>
  <c r="K22" i="4"/>
  <c r="K23" i="4"/>
  <c r="C44" i="4"/>
  <c r="L12" i="3"/>
  <c r="K4" i="3"/>
  <c r="X17" i="3"/>
  <c r="S27" i="3"/>
  <c r="O13" i="3" l="1"/>
  <c r="O12" i="3"/>
  <c r="D39" i="4"/>
  <c r="O11" i="3"/>
  <c r="R12" i="4"/>
  <c r="D41" i="4"/>
  <c r="E34" i="4"/>
  <c r="G34" i="4" s="1"/>
  <c r="E33" i="4"/>
  <c r="G33" i="4" s="1"/>
  <c r="E32" i="4"/>
  <c r="G32" i="4" s="1"/>
  <c r="C34" i="4"/>
  <c r="C33" i="4"/>
  <c r="D40" i="4"/>
  <c r="D38" i="4"/>
  <c r="Y5" i="3"/>
  <c r="Y6" i="3"/>
  <c r="T21" i="3" s="1"/>
  <c r="Y7" i="3"/>
  <c r="T22" i="3" s="1"/>
  <c r="Y8" i="3"/>
  <c r="T23" i="3" s="1"/>
  <c r="Y9" i="3"/>
  <c r="T24" i="3" s="1"/>
  <c r="N28" i="3"/>
  <c r="O28" i="3"/>
  <c r="P28" i="3"/>
  <c r="Q28" i="3"/>
  <c r="R28" i="3"/>
  <c r="S28" i="3"/>
  <c r="T28" i="3"/>
  <c r="U28" i="3"/>
  <c r="V28" i="3"/>
  <c r="Z28" i="3"/>
  <c r="W28" i="3"/>
  <c r="N29" i="3"/>
  <c r="Q29" i="3"/>
  <c r="R29" i="3"/>
  <c r="S29" i="3"/>
  <c r="U29" i="3"/>
  <c r="V29" i="3"/>
  <c r="W29" i="3"/>
  <c r="X29" i="3"/>
  <c r="Y29" i="3"/>
  <c r="Z29" i="3"/>
  <c r="AA29" i="3"/>
  <c r="N30" i="3"/>
  <c r="Q30" i="3"/>
  <c r="R30" i="3"/>
  <c r="S30" i="3"/>
  <c r="U30" i="3"/>
  <c r="V30" i="3"/>
  <c r="W30" i="3"/>
  <c r="X30" i="3"/>
  <c r="Y30" i="3"/>
  <c r="Z30" i="3"/>
  <c r="AA30" i="3"/>
  <c r="M28" i="3"/>
  <c r="M29" i="3"/>
  <c r="M30" i="3"/>
  <c r="M25" i="3"/>
  <c r="N25" i="3"/>
  <c r="O25" i="3"/>
  <c r="P25" i="3"/>
  <c r="Q25" i="3"/>
  <c r="R25" i="3"/>
  <c r="S25" i="3"/>
  <c r="T25" i="3"/>
  <c r="U25" i="3"/>
  <c r="V25" i="3"/>
  <c r="Z25" i="3"/>
  <c r="W25" i="3"/>
  <c r="W26" i="3"/>
  <c r="Z27" i="3"/>
  <c r="V27" i="3"/>
  <c r="L25" i="3" l="1"/>
  <c r="T20" i="3"/>
  <c r="E39" i="4"/>
  <c r="E35" i="4"/>
  <c r="G35" i="4" s="1"/>
  <c r="J39" i="4" s="1"/>
  <c r="E41" i="4"/>
  <c r="E40" i="4"/>
  <c r="C35" i="4"/>
  <c r="D44" i="4"/>
  <c r="E38" i="4"/>
  <c r="R22" i="3"/>
  <c r="Q22" i="3"/>
  <c r="Z26" i="3"/>
  <c r="L29" i="3"/>
  <c r="W27" i="3"/>
  <c r="V26" i="3"/>
  <c r="L30" i="3"/>
  <c r="L28" i="3"/>
  <c r="J43" i="4" l="1"/>
  <c r="J40" i="4"/>
  <c r="J42" i="4"/>
  <c r="J41" i="4"/>
  <c r="G39" i="4"/>
  <c r="G41" i="4"/>
  <c r="E44" i="4"/>
  <c r="G40" i="4"/>
  <c r="J37" i="4"/>
  <c r="J38" i="4"/>
  <c r="G38" i="4"/>
  <c r="S22" i="3"/>
  <c r="G44" i="4" l="1"/>
  <c r="J36" i="4"/>
  <c r="J44" i="4" s="1"/>
  <c r="T26" i="3"/>
  <c r="T27" i="3"/>
  <c r="P26" i="3"/>
  <c r="P27" i="3"/>
  <c r="R27" i="3"/>
  <c r="R26" i="3"/>
  <c r="S26" i="3"/>
  <c r="O26" i="3"/>
  <c r="O27" i="3"/>
  <c r="M26" i="3"/>
  <c r="M27" i="3"/>
  <c r="N27" i="3"/>
  <c r="N26" i="3"/>
  <c r="U26" i="3"/>
  <c r="U27" i="3"/>
  <c r="Q26" i="3"/>
  <c r="Q27" i="3"/>
  <c r="K6" i="3"/>
  <c r="K7" i="3"/>
  <c r="K8" i="3"/>
  <c r="K9" i="3"/>
  <c r="S11" i="3"/>
  <c r="L11" i="3" l="1"/>
  <c r="R24" i="3"/>
  <c r="Q24" i="3"/>
  <c r="S24" i="3"/>
  <c r="Q21" i="3"/>
  <c r="R21" i="3"/>
  <c r="Q23" i="3"/>
  <c r="R23" i="3"/>
  <c r="S23" i="3"/>
  <c r="L27" i="3"/>
  <c r="L26" i="3"/>
  <c r="B43" i="3"/>
  <c r="C43" i="3" s="1"/>
  <c r="B44" i="3"/>
  <c r="B45" i="3"/>
  <c r="B40" i="3"/>
  <c r="B41" i="3"/>
  <c r="B42" i="3"/>
  <c r="K5" i="3"/>
  <c r="P21" i="3" l="1"/>
  <c r="O24" i="3"/>
  <c r="M20" i="3"/>
  <c r="O19" i="3"/>
  <c r="P20" i="3"/>
  <c r="L23" i="3"/>
  <c r="M22" i="3"/>
  <c r="L24" i="3"/>
  <c r="M23" i="3"/>
  <c r="O23" i="3"/>
  <c r="P22" i="3"/>
  <c r="O21" i="3"/>
  <c r="M19" i="3"/>
  <c r="L22" i="3"/>
  <c r="P19" i="3"/>
  <c r="L20" i="3"/>
  <c r="M24" i="3"/>
  <c r="P23" i="3"/>
  <c r="O20" i="3"/>
  <c r="L21" i="3"/>
  <c r="P24" i="3"/>
  <c r="M21" i="3"/>
  <c r="O22" i="3"/>
  <c r="L19" i="3"/>
  <c r="C45" i="3"/>
  <c r="C44" i="3"/>
  <c r="X19" i="3"/>
  <c r="U19" i="3"/>
  <c r="N20" i="3"/>
  <c r="N21" i="3"/>
  <c r="N24" i="3"/>
  <c r="N22" i="3"/>
  <c r="N23" i="3"/>
  <c r="N19" i="3"/>
  <c r="V19" i="3"/>
  <c r="R20" i="3"/>
  <c r="Q20" i="3"/>
  <c r="S20" i="3"/>
  <c r="C41" i="3" s="1"/>
  <c r="R19" i="3"/>
  <c r="S19" i="3"/>
  <c r="S21" i="3"/>
  <c r="C42" i="3" s="1"/>
  <c r="W19" i="3"/>
  <c r="D45" i="3" l="1"/>
  <c r="D44" i="3"/>
  <c r="C40" i="3"/>
  <c r="D40" i="3"/>
  <c r="D42" i="3"/>
  <c r="D41" i="3"/>
  <c r="D43" i="3"/>
  <c r="S12" i="3"/>
  <c r="E33" i="3"/>
  <c r="S13" i="3"/>
  <c r="E36" i="3"/>
  <c r="G36" i="3" s="1"/>
  <c r="C33" i="3"/>
  <c r="C34" i="3"/>
  <c r="C35" i="3"/>
  <c r="E34" i="3"/>
  <c r="G34" i="3" s="1"/>
  <c r="E35" i="3"/>
  <c r="G35" i="3" s="1"/>
  <c r="E45" i="3" l="1"/>
  <c r="E37" i="3"/>
  <c r="E44" i="3"/>
  <c r="E43" i="3"/>
  <c r="G33" i="3"/>
  <c r="C46" i="3"/>
  <c r="E42" i="3"/>
  <c r="E40" i="3"/>
  <c r="E41" i="3"/>
  <c r="D46" i="3"/>
  <c r="G37" i="3" l="1"/>
  <c r="E46" i="3"/>
  <c r="C37" i="3"/>
  <c r="G45" i="3" l="1"/>
  <c r="K45" i="3"/>
  <c r="G43" i="3"/>
  <c r="G44" i="3"/>
  <c r="G42" i="3"/>
  <c r="G41" i="3"/>
  <c r="K39" i="3"/>
  <c r="K42" i="3"/>
  <c r="K44" i="3"/>
  <c r="G40" i="3"/>
  <c r="K41" i="3"/>
  <c r="K43" i="3"/>
  <c r="K40" i="3"/>
  <c r="K38" i="3" l="1"/>
  <c r="K46" i="3" s="1"/>
  <c r="G4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沖津　弘之</author>
    <author>U0562</author>
  </authors>
  <commentList>
    <comment ref="E4" authorId="0" shapeId="0" xr:uid="{00000000-0006-0000-0000-000001000000}">
      <text>
        <r>
          <rPr>
            <b/>
            <sz val="14"/>
            <color indexed="81"/>
            <rFont val="HG丸ｺﾞｼｯｸM-PRO"/>
            <family val="3"/>
            <charset val="128"/>
          </rPr>
          <t xml:space="preserve">
下記の方はチェックを入れてください。
給与収入額55万円を超える者又は、
公的年金等の収入額が、125万円を超える者(65歳未満は60万円超)</t>
        </r>
      </text>
    </comment>
    <comment ref="L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4"/>
            <color indexed="81"/>
            <rFont val="HG丸ｺﾞｼｯｸM-PRO"/>
            <family val="3"/>
            <charset val="128"/>
          </rPr>
          <t>下記の通り、加入月に合わせて入力してください。
・世帯主かつ、国保加入者→1
・世帯主で、国保ではない方（社保等）→2
・1か2を必ず入力してください。</t>
        </r>
      </text>
    </comment>
    <comment ref="L5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4"/>
            <color indexed="81"/>
            <rFont val="HG丸ｺﾞｼｯｸM-PRO"/>
            <family val="3"/>
            <charset val="128"/>
          </rPr>
          <t>下記の通り、加入月に合わせて入力してください。
世帯員の方で国保加入者→3
世帯員の方で国保でない方→空欄（入力しない）
社会保険、後期高齢者医療保険の場合は空欄</t>
        </r>
      </text>
    </comment>
    <comment ref="L6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4"/>
            <color indexed="81"/>
            <rFont val="HG丸ｺﾞｼｯｸM-PRO"/>
            <family val="3"/>
            <charset val="128"/>
          </rPr>
          <t>下記の通り、加入月に合わせて入力してください。
世帯員の方で国保加入者→3
世帯員の方で国保でない方→空欄（入力しない）
社会保険、後期高齢者医療保険の場合は空欄</t>
        </r>
      </text>
    </comment>
    <comment ref="L7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4"/>
            <color indexed="81"/>
            <rFont val="HG丸ｺﾞｼｯｸM-PRO"/>
            <family val="3"/>
            <charset val="128"/>
          </rPr>
          <t>下記の通り、加入月に合わせて入力してください。
世帯員の方で国保加入者→3
世帯員の方で国保でない方→空欄（入力しない）
社会保険、後期高齢者医療保険の場合は空欄</t>
        </r>
      </text>
    </comment>
    <comment ref="L8" authorId="0" shapeId="0" xr:uid="{00000000-0006-0000-0000-000006000000}">
      <text>
        <r>
          <rPr>
            <b/>
            <sz val="14"/>
            <color indexed="81"/>
            <rFont val="HG丸ｺﾞｼｯｸM-PRO"/>
            <family val="3"/>
            <charset val="128"/>
          </rPr>
          <t xml:space="preserve">
下記の通り、加入月に合わせて入力してください。
世帯員の方で国保加入者→3
世帯員の方で国保でない方→空欄（入力しない）
社会保険、後期高齢者医療保険の場合は空欄</t>
        </r>
      </text>
    </comment>
    <comment ref="L9" authorId="0" shapeId="0" xr:uid="{00000000-0006-0000-0000-000007000000}">
      <text>
        <r>
          <rPr>
            <b/>
            <sz val="14"/>
            <color indexed="81"/>
            <rFont val="HG丸ｺﾞｼｯｸM-PRO"/>
            <family val="3"/>
            <charset val="128"/>
          </rPr>
          <t>下記の通り、加入月に合わせて入力してください。
世帯員の方で国保加入者→3
世帯員の方で国保でない方→空欄（入力しない）
社会保険、後期高齢者医療保険の場合は空欄</t>
        </r>
      </text>
    </comment>
    <comment ref="C12" authorId="1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基礎控除額</t>
        </r>
      </text>
    </comment>
    <comment ref="L25" authorId="1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介護分該当月数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沖津　弘之</author>
    <author>U0562</author>
  </authors>
  <commentList>
    <comment ref="E4" authorId="0" shapeId="0" xr:uid="{00000000-0006-0000-0100-000001000000}">
      <text>
        <r>
          <rPr>
            <b/>
            <sz val="14"/>
            <color indexed="81"/>
            <rFont val="HG丸ｺﾞｼｯｸM-PRO"/>
            <family val="3"/>
            <charset val="128"/>
          </rPr>
          <t xml:space="preserve">
下記の方はチェックを入れてください。
給与収入額55万円を超える者又は、
公的年金等の収入額が、125万円を超える者(65歳未満は60万円超)</t>
        </r>
      </text>
    </comment>
    <comment ref="K4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4"/>
            <color indexed="81"/>
            <rFont val="HG丸ｺﾞｼｯｸM-PRO"/>
            <family val="3"/>
            <charset val="128"/>
          </rPr>
          <t>下記の通り、加入月に合わせて入力してください。
・世帯主かつ、国保加入者→1
・世帯主で、国保ではない方（社保等）→2
・1か2を必ず入力してください。</t>
        </r>
      </text>
    </comment>
    <comment ref="K5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4"/>
            <color indexed="81"/>
            <rFont val="HG丸ｺﾞｼｯｸM-PRO"/>
            <family val="3"/>
            <charset val="128"/>
          </rPr>
          <t>下記の通り、加入月に合わせて入力してください。
世帯員の方で国保加入者→3
世帯員の方で国保でない方→空欄（入力しない）
社会保険、後期高齢者医療保険の場合は空欄</t>
        </r>
      </text>
    </comment>
    <comment ref="K6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4"/>
            <color indexed="81"/>
            <rFont val="HG丸ｺﾞｼｯｸM-PRO"/>
            <family val="3"/>
            <charset val="128"/>
          </rPr>
          <t>下記の通り、加入月に合わせて入力してください。
世帯員の方で国保加入者→3
世帯員の方で国保でない方→空欄（入力しない）
社会保険、後期高齢者医療保険の場合は空欄</t>
        </r>
      </text>
    </comment>
    <comment ref="K7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4"/>
            <color indexed="81"/>
            <rFont val="HG丸ｺﾞｼｯｸM-PRO"/>
            <family val="3"/>
            <charset val="128"/>
          </rPr>
          <t>下記の通り、加入月に合わせて入力してください。
世帯員の方で国保加入者→3
世帯員の方で国保でない方→空欄（入力しない）
社会保険、後期高齢者医療保険の場合は空欄</t>
        </r>
      </text>
    </comment>
    <comment ref="K8" authorId="0" shapeId="0" xr:uid="{00000000-0006-0000-0100-000006000000}">
      <text>
        <r>
          <rPr>
            <b/>
            <sz val="14"/>
            <color indexed="81"/>
            <rFont val="HG丸ｺﾞｼｯｸM-PRO"/>
            <family val="3"/>
            <charset val="128"/>
          </rPr>
          <t xml:space="preserve">
下記の通り、加入月に合わせて入力してください。
世帯員の方で国保加入者→3
世帯員の方で国保でない方→空欄（入力しない）
社会保険、後期高齢者医療保険の場合は空欄</t>
        </r>
      </text>
    </comment>
    <comment ref="K9" authorId="0" shapeId="0" xr:uid="{00000000-0006-0000-0100-000007000000}">
      <text>
        <r>
          <rPr>
            <b/>
            <sz val="14"/>
            <color indexed="81"/>
            <rFont val="HG丸ｺﾞｼｯｸM-PRO"/>
            <family val="3"/>
            <charset val="128"/>
          </rPr>
          <t>下記の通り、加入月に合わせて入力してください。
世帯員の方で国保加入者→3
世帯員の方で国保でない方→空欄（入力しない）
社会保険、後期高齢者医療保険の場合は空欄</t>
        </r>
      </text>
    </comment>
    <comment ref="C12" authorId="1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基礎控除額</t>
        </r>
      </text>
    </comment>
    <comment ref="K24" authorId="1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介護分該当月数
</t>
        </r>
      </text>
    </comment>
  </commentList>
</comments>
</file>

<file path=xl/sharedStrings.xml><?xml version="1.0" encoding="utf-8"?>
<sst xmlns="http://schemas.openxmlformats.org/spreadsheetml/2006/main" count="181" uniqueCount="87">
  <si>
    <t>所得割額</t>
    <rPh sb="0" eb="2">
      <t>ショトク</t>
    </rPh>
    <rPh sb="2" eb="3">
      <t>ワリ</t>
    </rPh>
    <rPh sb="3" eb="4">
      <t>ガク</t>
    </rPh>
    <phoneticPr fontId="2"/>
  </si>
  <si>
    <t>平等割額</t>
    <rPh sb="0" eb="2">
      <t>ビョウドウ</t>
    </rPh>
    <rPh sb="2" eb="3">
      <t>ワリ</t>
    </rPh>
    <rPh sb="3" eb="4">
      <t>ガク</t>
    </rPh>
    <phoneticPr fontId="2"/>
  </si>
  <si>
    <t>均等割額</t>
    <rPh sb="0" eb="3">
      <t>キントウワ</t>
    </rPh>
    <rPh sb="3" eb="4">
      <t>ガク</t>
    </rPh>
    <phoneticPr fontId="2"/>
  </si>
  <si>
    <t>限度額</t>
    <rPh sb="0" eb="2">
      <t>ゲンド</t>
    </rPh>
    <rPh sb="2" eb="3">
      <t>ガク</t>
    </rPh>
    <phoneticPr fontId="2"/>
  </si>
  <si>
    <t>加入者１人につき</t>
    <rPh sb="0" eb="3">
      <t>カニュウシャ</t>
    </rPh>
    <rPh sb="4" eb="5">
      <t>リ</t>
    </rPh>
    <phoneticPr fontId="2"/>
  </si>
  <si>
    <t>１世帯につき</t>
    <rPh sb="1" eb="3">
      <t>セタイ</t>
    </rPh>
    <phoneticPr fontId="2"/>
  </si>
  <si>
    <t>総所得金額</t>
    <rPh sb="0" eb="3">
      <t>ソウショトク</t>
    </rPh>
    <rPh sb="3" eb="5">
      <t>キンガク</t>
    </rPh>
    <phoneticPr fontId="2"/>
  </si>
  <si>
    <t>世帯員</t>
    <rPh sb="0" eb="3">
      <t>セタイイン</t>
    </rPh>
    <phoneticPr fontId="2"/>
  </si>
  <si>
    <t>年額</t>
    <rPh sb="0" eb="2">
      <t>ネンガク</t>
    </rPh>
    <phoneticPr fontId="2"/>
  </si>
  <si>
    <t>５割軽減</t>
    <rPh sb="1" eb="2">
      <t>ワリ</t>
    </rPh>
    <rPh sb="2" eb="4">
      <t>ケイゲン</t>
    </rPh>
    <phoneticPr fontId="2"/>
  </si>
  <si>
    <t>２割軽減</t>
    <rPh sb="1" eb="2">
      <t>ワリ</t>
    </rPh>
    <rPh sb="2" eb="4">
      <t>ケイゲン</t>
    </rPh>
    <phoneticPr fontId="2"/>
  </si>
  <si>
    <t>７割軽減</t>
    <rPh sb="1" eb="2">
      <t>ワリ</t>
    </rPh>
    <rPh sb="2" eb="4">
      <t>ケイゲン</t>
    </rPh>
    <phoneticPr fontId="2"/>
  </si>
  <si>
    <t>計</t>
    <rPh sb="0" eb="1">
      <t>ケイ</t>
    </rPh>
    <phoneticPr fontId="2"/>
  </si>
  <si>
    <t>年齢</t>
    <rPh sb="0" eb="2">
      <t>ネンレイ</t>
    </rPh>
    <phoneticPr fontId="2"/>
  </si>
  <si>
    <t>基礎控除後</t>
    <rPh sb="0" eb="2">
      <t>キソ</t>
    </rPh>
    <rPh sb="2" eb="4">
      <t>コウジョ</t>
    </rPh>
    <rPh sb="4" eb="5">
      <t>ゴ</t>
    </rPh>
    <phoneticPr fontId="2"/>
  </si>
  <si>
    <t>1:普主</t>
    <rPh sb="2" eb="3">
      <t>フ</t>
    </rPh>
    <rPh sb="3" eb="4">
      <t>ヌシ</t>
    </rPh>
    <phoneticPr fontId="2"/>
  </si>
  <si>
    <t>2:擬主</t>
    <rPh sb="2" eb="3">
      <t>ギ</t>
    </rPh>
    <rPh sb="3" eb="4">
      <t>ヌシ</t>
    </rPh>
    <phoneticPr fontId="2"/>
  </si>
  <si>
    <t>3:被保</t>
    <rPh sb="2" eb="3">
      <t>ヒ</t>
    </rPh>
    <rPh sb="3" eb="4">
      <t>ホ</t>
    </rPh>
    <phoneticPr fontId="2"/>
  </si>
  <si>
    <t>給与所得者</t>
    <rPh sb="0" eb="2">
      <t>キュウヨ</t>
    </rPh>
    <rPh sb="2" eb="4">
      <t>ショトク</t>
    </rPh>
    <rPh sb="4" eb="5">
      <t>シャ</t>
    </rPh>
    <phoneticPr fontId="2"/>
  </si>
  <si>
    <t>算定用所得</t>
    <rPh sb="0" eb="2">
      <t>サンテイ</t>
    </rPh>
    <rPh sb="2" eb="3">
      <t>ヨウ</t>
    </rPh>
    <rPh sb="3" eb="5">
      <t>ショトク</t>
    </rPh>
    <phoneticPr fontId="2"/>
  </si>
  <si>
    <t>被保険者数</t>
    <rPh sb="0" eb="4">
      <t>ヒホケンシャ</t>
    </rPh>
    <rPh sb="4" eb="5">
      <t>スウ</t>
    </rPh>
    <phoneticPr fontId="2"/>
  </si>
  <si>
    <t>前年1月～12月の所得</t>
    <rPh sb="0" eb="2">
      <t>ゼンネン</t>
    </rPh>
    <rPh sb="3" eb="4">
      <t>ガツ</t>
    </rPh>
    <rPh sb="7" eb="8">
      <t>ガツ</t>
    </rPh>
    <rPh sb="9" eb="11">
      <t>ショトク</t>
    </rPh>
    <phoneticPr fontId="2"/>
  </si>
  <si>
    <t>計</t>
    <rPh sb="0" eb="1">
      <t>ケイ</t>
    </rPh>
    <phoneticPr fontId="2"/>
  </si>
  <si>
    <t>氏名</t>
    <rPh sb="0" eb="2">
      <t>シメイ</t>
    </rPh>
    <phoneticPr fontId="2"/>
  </si>
  <si>
    <t>所得割額</t>
    <rPh sb="0" eb="2">
      <t>ショトク</t>
    </rPh>
    <rPh sb="2" eb="3">
      <t>ワリ</t>
    </rPh>
    <rPh sb="3" eb="4">
      <t>ガク</t>
    </rPh>
    <phoneticPr fontId="2"/>
  </si>
  <si>
    <t>期別</t>
    <rPh sb="0" eb="1">
      <t>キ</t>
    </rPh>
    <rPh sb="1" eb="2">
      <t>ベツ</t>
    </rPh>
    <phoneticPr fontId="2"/>
  </si>
  <si>
    <t>合計</t>
    <rPh sb="0" eb="2">
      <t>ゴウケイ</t>
    </rPh>
    <phoneticPr fontId="2"/>
  </si>
  <si>
    <t>区分</t>
    <rPh sb="0" eb="2">
      <t>クブン</t>
    </rPh>
    <phoneticPr fontId="2"/>
  </si>
  <si>
    <t>計</t>
    <rPh sb="0" eb="1">
      <t>ケイ</t>
    </rPh>
    <phoneticPr fontId="2"/>
  </si>
  <si>
    <t>端数処理</t>
    <rPh sb="0" eb="2">
      <t>ハスウ</t>
    </rPh>
    <rPh sb="2" eb="4">
      <t>ショリ</t>
    </rPh>
    <phoneticPr fontId="2"/>
  </si>
  <si>
    <t>軽　　減</t>
    <rPh sb="0" eb="1">
      <t>ケイ</t>
    </rPh>
    <rPh sb="3" eb="4">
      <t>ゲン</t>
    </rPh>
    <phoneticPr fontId="2"/>
  </si>
  <si>
    <t>金額(上限反映前)</t>
    <rPh sb="0" eb="2">
      <t>キンガク</t>
    </rPh>
    <rPh sb="3" eb="5">
      <t>ジョウゲン</t>
    </rPh>
    <rPh sb="5" eb="7">
      <t>ハンエイ</t>
    </rPh>
    <rPh sb="7" eb="8">
      <t>マエ</t>
    </rPh>
    <phoneticPr fontId="2"/>
  </si>
  <si>
    <t>金額(上限反映後)</t>
    <rPh sb="0" eb="2">
      <t>キンガク</t>
    </rPh>
    <rPh sb="3" eb="5">
      <t>ジョウゲン</t>
    </rPh>
    <rPh sb="5" eb="7">
      <t>ハンエイ</t>
    </rPh>
    <rPh sb="7" eb="8">
      <t>ゴ</t>
    </rPh>
    <phoneticPr fontId="2"/>
  </si>
  <si>
    <t>平等割率</t>
    <rPh sb="0" eb="2">
      <t>ビョウドウ</t>
    </rPh>
    <rPh sb="2" eb="3">
      <t>ワリ</t>
    </rPh>
    <rPh sb="3" eb="4">
      <t>リツ</t>
    </rPh>
    <phoneticPr fontId="2"/>
  </si>
  <si>
    <t>個人負担相当額</t>
    <rPh sb="0" eb="2">
      <t>コジン</t>
    </rPh>
    <rPh sb="2" eb="4">
      <t>フタン</t>
    </rPh>
    <rPh sb="4" eb="6">
      <t>ソウトウ</t>
    </rPh>
    <rPh sb="6" eb="7">
      <t>ガク</t>
    </rPh>
    <phoneticPr fontId="2"/>
  </si>
  <si>
    <t>(計算用)所得割</t>
    <rPh sb="1" eb="4">
      <t>ケイサンヨウ</t>
    </rPh>
    <rPh sb="5" eb="7">
      <t>ショトク</t>
    </rPh>
    <rPh sb="7" eb="8">
      <t>ワリ</t>
    </rPh>
    <phoneticPr fontId="2"/>
  </si>
  <si>
    <t>(計算用)均等割</t>
    <rPh sb="1" eb="4">
      <t>ケイサンヨウ</t>
    </rPh>
    <rPh sb="5" eb="8">
      <t>キントウワ</t>
    </rPh>
    <phoneticPr fontId="2"/>
  </si>
  <si>
    <t>に入力してください。</t>
    <rPh sb="1" eb="3">
      <t>ニュウリョク</t>
    </rPh>
    <phoneticPr fontId="2"/>
  </si>
  <si>
    <t>算定基礎額</t>
    <rPh sb="0" eb="2">
      <t>サンテイ</t>
    </rPh>
    <rPh sb="2" eb="4">
      <t>キソ</t>
    </rPh>
    <rPh sb="4" eb="5">
      <t>ガク</t>
    </rPh>
    <phoneticPr fontId="2"/>
  </si>
  <si>
    <t>医療分</t>
    <rPh sb="0" eb="2">
      <t>イリョウ</t>
    </rPh>
    <rPh sb="2" eb="3">
      <t>ブン</t>
    </rPh>
    <phoneticPr fontId="2"/>
  </si>
  <si>
    <t>後期分</t>
    <rPh sb="0" eb="2">
      <t>コウキ</t>
    </rPh>
    <rPh sb="2" eb="3">
      <t>ブン</t>
    </rPh>
    <phoneticPr fontId="2"/>
  </si>
  <si>
    <t>介護分</t>
    <rPh sb="0" eb="2">
      <t>カイゴ</t>
    </rPh>
    <rPh sb="2" eb="3">
      <t>ブン</t>
    </rPh>
    <phoneticPr fontId="2"/>
  </si>
  <si>
    <t>区　分</t>
    <rPh sb="0" eb="1">
      <t>ク</t>
    </rPh>
    <rPh sb="2" eb="3">
      <t>ブン</t>
    </rPh>
    <phoneticPr fontId="2"/>
  </si>
  <si>
    <t>医　療</t>
    <rPh sb="0" eb="1">
      <t>イ</t>
    </rPh>
    <rPh sb="2" eb="3">
      <t>リョウ</t>
    </rPh>
    <phoneticPr fontId="2"/>
  </si>
  <si>
    <t>後　期</t>
  </si>
  <si>
    <t>介　護</t>
    <rPh sb="0" eb="1">
      <t>スケ</t>
    </rPh>
    <rPh sb="2" eb="3">
      <t>マモル</t>
    </rPh>
    <phoneticPr fontId="2"/>
  </si>
  <si>
    <t>4/1</t>
    <phoneticPr fontId="2"/>
  </si>
  <si>
    <t>生年月日</t>
    <rPh sb="0" eb="2">
      <t>セイネン</t>
    </rPh>
    <rPh sb="2" eb="4">
      <t>ガッピ</t>
    </rPh>
    <phoneticPr fontId="2"/>
  </si>
  <si>
    <t>均医</t>
    <rPh sb="0" eb="1">
      <t>ヒトシ</t>
    </rPh>
    <rPh sb="1" eb="2">
      <t>イ</t>
    </rPh>
    <phoneticPr fontId="2"/>
  </si>
  <si>
    <t>世帯員１</t>
    <rPh sb="0" eb="3">
      <t>セタイイン</t>
    </rPh>
    <phoneticPr fontId="2"/>
  </si>
  <si>
    <t>世帯員２</t>
    <rPh sb="0" eb="3">
      <t>セタイイン</t>
    </rPh>
    <phoneticPr fontId="2"/>
  </si>
  <si>
    <t>世帯員３</t>
    <rPh sb="0" eb="3">
      <t>セタイイン</t>
    </rPh>
    <phoneticPr fontId="2"/>
  </si>
  <si>
    <t>世帯員４</t>
    <rPh sb="0" eb="3">
      <t>セタイイン</t>
    </rPh>
    <phoneticPr fontId="2"/>
  </si>
  <si>
    <t>世帯員５</t>
    <rPh sb="0" eb="3">
      <t>セタイイン</t>
    </rPh>
    <phoneticPr fontId="2"/>
  </si>
  <si>
    <t>世帯員６</t>
    <rPh sb="0" eb="3">
      <t>セタイイン</t>
    </rPh>
    <phoneticPr fontId="2"/>
  </si>
  <si>
    <t>均後</t>
    <rPh sb="0" eb="1">
      <t>ヒトシ</t>
    </rPh>
    <rPh sb="1" eb="2">
      <t>ゴ</t>
    </rPh>
    <phoneticPr fontId="2"/>
  </si>
  <si>
    <t>均介</t>
    <rPh sb="0" eb="1">
      <t>ヒトシ</t>
    </rPh>
    <rPh sb="1" eb="2">
      <t>カイ</t>
    </rPh>
    <phoneticPr fontId="2"/>
  </si>
  <si>
    <t>所医</t>
    <rPh sb="0" eb="1">
      <t>トコロ</t>
    </rPh>
    <rPh sb="1" eb="2">
      <t>イ</t>
    </rPh>
    <phoneticPr fontId="2"/>
  </si>
  <si>
    <t>所後</t>
    <rPh sb="0" eb="1">
      <t>ショ</t>
    </rPh>
    <rPh sb="1" eb="2">
      <t>ゴ</t>
    </rPh>
    <phoneticPr fontId="2"/>
  </si>
  <si>
    <t>所介</t>
    <rPh sb="0" eb="1">
      <t>トコロ</t>
    </rPh>
    <rPh sb="1" eb="2">
      <t>カイ</t>
    </rPh>
    <phoneticPr fontId="2"/>
  </si>
  <si>
    <t>平医</t>
    <rPh sb="0" eb="1">
      <t>タイラ</t>
    </rPh>
    <rPh sb="1" eb="2">
      <t>イ</t>
    </rPh>
    <phoneticPr fontId="2"/>
  </si>
  <si>
    <t>平後</t>
    <rPh sb="0" eb="1">
      <t>タイラ</t>
    </rPh>
    <rPh sb="1" eb="2">
      <t>ゴ</t>
    </rPh>
    <phoneticPr fontId="2"/>
  </si>
  <si>
    <t>平介</t>
    <rPh sb="0" eb="1">
      <t>タイラ</t>
    </rPh>
    <rPh sb="1" eb="2">
      <t>カイ</t>
    </rPh>
    <phoneticPr fontId="2"/>
  </si>
  <si>
    <t>非自発失業</t>
    <rPh sb="0" eb="1">
      <t>ヒ</t>
    </rPh>
    <rPh sb="1" eb="3">
      <t>ジハツ</t>
    </rPh>
    <rPh sb="3" eb="5">
      <t>シツギョウ</t>
    </rPh>
    <phoneticPr fontId="2"/>
  </si>
  <si>
    <t>　  　　国保 　太郎　　　 3,000,000</t>
    <rPh sb="5" eb="7">
      <t>コクホ</t>
    </rPh>
    <rPh sb="9" eb="11">
      <t>タロウ</t>
    </rPh>
    <phoneticPr fontId="2"/>
  </si>
  <si>
    <t>真　岡　市　国　民　健　康　保　険　税　試　算　ワ　ー　ク　シ　ー　ト</t>
    <rPh sb="0" eb="1">
      <t>シン</t>
    </rPh>
    <rPh sb="2" eb="3">
      <t>オカ</t>
    </rPh>
    <rPh sb="4" eb="5">
      <t>シ</t>
    </rPh>
    <rPh sb="6" eb="7">
      <t>クニ</t>
    </rPh>
    <rPh sb="8" eb="9">
      <t>タミ</t>
    </rPh>
    <rPh sb="10" eb="11">
      <t>ケン</t>
    </rPh>
    <rPh sb="12" eb="13">
      <t>ヤスシ</t>
    </rPh>
    <rPh sb="14" eb="15">
      <t>タモツ</t>
    </rPh>
    <rPh sb="16" eb="17">
      <t>ケン</t>
    </rPh>
    <rPh sb="18" eb="19">
      <t>ゼイ</t>
    </rPh>
    <rPh sb="20" eb="21">
      <t>タメシ</t>
    </rPh>
    <rPh sb="22" eb="23">
      <t>サン</t>
    </rPh>
    <phoneticPr fontId="2"/>
  </si>
  <si>
    <t>給与所得者</t>
    <rPh sb="0" eb="2">
      <t>キュウヨ</t>
    </rPh>
    <rPh sb="2" eb="4">
      <t>ショトク</t>
    </rPh>
    <rPh sb="4" eb="5">
      <t>シャ</t>
    </rPh>
    <phoneticPr fontId="2"/>
  </si>
  <si>
    <t>非自発</t>
    <rPh sb="0" eb="1">
      <t>ヒ</t>
    </rPh>
    <rPh sb="1" eb="3">
      <t>ジハツ</t>
    </rPh>
    <phoneticPr fontId="2"/>
  </si>
  <si>
    <t>未就額軽減</t>
    <rPh sb="0" eb="2">
      <t>ミシュウ</t>
    </rPh>
    <rPh sb="2" eb="3">
      <t>ガク</t>
    </rPh>
    <rPh sb="3" eb="5">
      <t>ケイゲン</t>
    </rPh>
    <phoneticPr fontId="2"/>
  </si>
  <si>
    <t>世帯主</t>
    <rPh sb="0" eb="3">
      <t>セタイヌシ</t>
    </rPh>
    <phoneticPr fontId="2"/>
  </si>
  <si>
    <t>妻</t>
    <rPh sb="0" eb="1">
      <t>ツマ</t>
    </rPh>
    <phoneticPr fontId="2"/>
  </si>
  <si>
    <t>子</t>
    <rPh sb="0" eb="1">
      <t>コ</t>
    </rPh>
    <phoneticPr fontId="2"/>
  </si>
  <si>
    <t>←税額はこちらに表示されます。</t>
    <rPh sb="1" eb="3">
      <t>ゼイガク</t>
    </rPh>
    <rPh sb="8" eb="10">
      <t>ヒョウジ</t>
    </rPh>
    <phoneticPr fontId="2"/>
  </si>
  <si>
    <t>※試算となりますので、実際に課税される税額と異なる場合があります。</t>
  </si>
  <si>
    <t>※給与所得者等は、給与収入額55万円を超える者又は、公的年金等の収入額が、125万円を超える者(65歳未満は60万円超)</t>
    <phoneticPr fontId="2"/>
  </si>
  <si>
    <t>世帯主は「1」か「2」を必ず入力してください。世帯員は「3」か「空欄」になります。</t>
    <rPh sb="12" eb="13">
      <t>カナラ</t>
    </rPh>
    <rPh sb="14" eb="16">
      <t>ニュウリョク</t>
    </rPh>
    <rPh sb="23" eb="26">
      <t>セタイイン</t>
    </rPh>
    <rPh sb="32" eb="34">
      <t>クウラン</t>
    </rPh>
    <phoneticPr fontId="2"/>
  </si>
  <si>
    <t>年齢</t>
    <rPh sb="0" eb="2">
      <t>ネンレイ</t>
    </rPh>
    <phoneticPr fontId="2"/>
  </si>
  <si>
    <t>子ども支援分</t>
    <rPh sb="0" eb="1">
      <t>コ</t>
    </rPh>
    <rPh sb="3" eb="5">
      <t>シエン</t>
    </rPh>
    <rPh sb="5" eb="6">
      <t>ブン</t>
    </rPh>
    <phoneticPr fontId="2"/>
  </si>
  <si>
    <t>均等割額①</t>
    <rPh sb="0" eb="3">
      <t>キントウワ</t>
    </rPh>
    <rPh sb="3" eb="4">
      <t>ガク</t>
    </rPh>
    <phoneticPr fontId="2"/>
  </si>
  <si>
    <t>均等割額②（18歳以上）</t>
    <rPh sb="0" eb="3">
      <t>キントウワ</t>
    </rPh>
    <rPh sb="3" eb="4">
      <t>ガク</t>
    </rPh>
    <rPh sb="8" eb="9">
      <t>サイ</t>
    </rPh>
    <rPh sb="9" eb="11">
      <t>イジョウ</t>
    </rPh>
    <phoneticPr fontId="2"/>
  </si>
  <si>
    <t>均子</t>
    <rPh sb="0" eb="1">
      <t>ヒトシ</t>
    </rPh>
    <rPh sb="1" eb="2">
      <t>コ</t>
    </rPh>
    <phoneticPr fontId="2"/>
  </si>
  <si>
    <t>18均子</t>
    <rPh sb="2" eb="3">
      <t>ヒトシ</t>
    </rPh>
    <rPh sb="3" eb="4">
      <t>コ</t>
    </rPh>
    <phoneticPr fontId="2"/>
  </si>
  <si>
    <t>所子</t>
    <rPh sb="0" eb="1">
      <t>ショ</t>
    </rPh>
    <rPh sb="1" eb="2">
      <t>コ</t>
    </rPh>
    <phoneticPr fontId="2"/>
  </si>
  <si>
    <t>平子</t>
    <rPh sb="0" eb="1">
      <t>ヒラ</t>
    </rPh>
    <rPh sb="1" eb="2">
      <t>コ</t>
    </rPh>
    <phoneticPr fontId="2"/>
  </si>
  <si>
    <t>子ども</t>
    <rPh sb="0" eb="1">
      <t>コ</t>
    </rPh>
    <phoneticPr fontId="2"/>
  </si>
  <si>
    <t>18歳未満軽減（子ども支援）</t>
    <rPh sb="2" eb="3">
      <t>サイ</t>
    </rPh>
    <rPh sb="3" eb="5">
      <t>ミマン</t>
    </rPh>
    <rPh sb="5" eb="7">
      <t>ケイゲン</t>
    </rPh>
    <rPh sb="8" eb="9">
      <t>コ</t>
    </rPh>
    <rPh sb="11" eb="13">
      <t>シエン</t>
    </rPh>
    <phoneticPr fontId="2"/>
  </si>
  <si>
    <t>生年月日は○○○○/○○/○○の形で入力</t>
    <rPh sb="0" eb="4">
      <t>セイネンガッピ</t>
    </rPh>
    <rPh sb="16" eb="17">
      <t>カタチ</t>
    </rPh>
    <rPh sb="18" eb="20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</si>
</sst>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&quot;令和&quot;General&quot;年度&quot;"/>
    <numFmt numFmtId="178" formatCode="[$-411]ge\.m\.d;@"/>
    <numFmt numFmtId="179" formatCode="General&quot;月&quot;"/>
  </numFmts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SｺﾞｼｯｸM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0" tint="-0.34998626667073579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1"/>
      <color theme="0" tint="-4.9989318521683403E-2"/>
      <name val="游ゴシック"/>
      <family val="2"/>
      <charset val="128"/>
      <scheme val="minor"/>
    </font>
    <font>
      <sz val="11"/>
      <color rgb="FFFEFFE5"/>
      <name val="HGSｺﾞｼｯｸM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</font>
    <font>
      <sz val="11"/>
      <color rgb="FFFEFFE5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6"/>
      <color rgb="FFFF0000"/>
      <name val="HG丸ｺﾞｼｯｸM-PRO"/>
      <family val="3"/>
      <charset val="128"/>
    </font>
    <font>
      <b/>
      <sz val="14"/>
      <color indexed="81"/>
      <name val="HG丸ｺﾞｼｯｸM-PRO"/>
      <family val="3"/>
      <charset val="128"/>
    </font>
    <font>
      <sz val="14"/>
      <color rgb="FFFF000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HGSｺﾞｼｯｸM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DF3F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FFE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8" fontId="0" fillId="0" borderId="1" xfId="0" applyNumberFormat="1" applyFill="1" applyBorder="1" applyAlignment="1">
      <alignment horizontal="center" vertical="center"/>
    </xf>
    <xf numFmtId="38" fontId="12" fillId="0" borderId="1" xfId="0" applyNumberFormat="1" applyFont="1" applyFill="1" applyBorder="1" applyAlignment="1">
      <alignment horizontal="center" vertical="center"/>
    </xf>
    <xf numFmtId="38" fontId="0" fillId="0" borderId="0" xfId="1" applyFont="1" applyFill="1">
      <alignment vertical="center"/>
    </xf>
    <xf numFmtId="0" fontId="0" fillId="0" borderId="1" xfId="0" applyFill="1" applyBorder="1">
      <alignment vertical="center"/>
    </xf>
    <xf numFmtId="38" fontId="3" fillId="0" borderId="1" xfId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38" fontId="0" fillId="0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38" fontId="0" fillId="2" borderId="1" xfId="0" applyNumberForma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38" fontId="0" fillId="3" borderId="0" xfId="1" applyFont="1" applyFill="1">
      <alignment vertical="center"/>
    </xf>
    <xf numFmtId="0" fontId="9" fillId="3" borderId="0" xfId="0" applyFont="1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38" fontId="0" fillId="3" borderId="0" xfId="0" applyNumberFormat="1" applyFill="1">
      <alignment vertical="center"/>
    </xf>
    <xf numFmtId="0" fontId="3" fillId="3" borderId="0" xfId="0" applyFont="1" applyFill="1" applyBorder="1">
      <alignment vertical="center"/>
    </xf>
    <xf numFmtId="0" fontId="6" fillId="3" borderId="0" xfId="0" applyFont="1" applyFill="1" applyBorder="1">
      <alignment vertical="center"/>
    </xf>
    <xf numFmtId="0" fontId="3" fillId="3" borderId="0" xfId="0" applyFont="1" applyFill="1">
      <alignment vertical="center"/>
    </xf>
    <xf numFmtId="38" fontId="0" fillId="3" borderId="0" xfId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center" vertical="center"/>
    </xf>
    <xf numFmtId="14" fontId="15" fillId="3" borderId="0" xfId="0" applyNumberFormat="1" applyFont="1" applyFill="1">
      <alignment vertical="center"/>
    </xf>
    <xf numFmtId="38" fontId="18" fillId="0" borderId="1" xfId="1" applyFont="1" applyFill="1" applyBorder="1">
      <alignment vertical="center"/>
    </xf>
    <xf numFmtId="38" fontId="18" fillId="3" borderId="0" xfId="0" applyNumberFormat="1" applyFont="1" applyFill="1">
      <alignment vertical="center"/>
    </xf>
    <xf numFmtId="38" fontId="18" fillId="5" borderId="1" xfId="1" applyFont="1" applyFill="1" applyBorder="1">
      <alignment vertical="center"/>
    </xf>
    <xf numFmtId="0" fontId="0" fillId="6" borderId="1" xfId="0" applyFill="1" applyBorder="1">
      <alignment vertical="center"/>
    </xf>
    <xf numFmtId="0" fontId="0" fillId="7" borderId="1" xfId="0" applyFill="1" applyBorder="1" applyAlignment="1">
      <alignment horizontal="center" vertical="center"/>
    </xf>
    <xf numFmtId="38" fontId="7" fillId="7" borderId="1" xfId="1" applyFont="1" applyFill="1" applyBorder="1" applyAlignment="1">
      <alignment horizontal="center" vertical="center"/>
    </xf>
    <xf numFmtId="38" fontId="18" fillId="0" borderId="7" xfId="1" applyFont="1" applyFill="1" applyBorder="1">
      <alignment vertical="center"/>
    </xf>
    <xf numFmtId="0" fontId="0" fillId="7" borderId="4" xfId="0" applyFill="1" applyBorder="1" applyAlignment="1">
      <alignment horizontal="center" vertical="center"/>
    </xf>
    <xf numFmtId="38" fontId="7" fillId="3" borderId="0" xfId="0" applyNumberFormat="1" applyFont="1" applyFill="1" applyBorder="1" applyAlignment="1">
      <alignment horizontal="center" vertical="center"/>
    </xf>
    <xf numFmtId="38" fontId="7" fillId="3" borderId="0" xfId="1" applyFont="1" applyFill="1" applyBorder="1" applyAlignment="1">
      <alignment horizontal="center" vertical="center"/>
    </xf>
    <xf numFmtId="38" fontId="18" fillId="5" borderId="1" xfId="1" applyFont="1" applyFill="1" applyBorder="1" applyAlignment="1">
      <alignment horizontal="right" vertical="center"/>
    </xf>
    <xf numFmtId="38" fontId="18" fillId="5" borderId="3" xfId="1" applyFont="1" applyFill="1" applyBorder="1" applyAlignment="1">
      <alignment horizontal="right" vertical="center"/>
    </xf>
    <xf numFmtId="0" fontId="0" fillId="3" borderId="0" xfId="0" applyFill="1" applyBorder="1" applyAlignment="1">
      <alignment horizontal="center" vertical="center"/>
    </xf>
    <xf numFmtId="38" fontId="3" fillId="3" borderId="0" xfId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38" fontId="5" fillId="3" borderId="0" xfId="1" applyFont="1" applyFill="1" applyAlignment="1">
      <alignment horizontal="center" vertical="center"/>
    </xf>
    <xf numFmtId="38" fontId="3" fillId="3" borderId="0" xfId="0" applyNumberFormat="1" applyFont="1" applyFill="1">
      <alignment vertical="center"/>
    </xf>
    <xf numFmtId="0" fontId="19" fillId="2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38" fontId="18" fillId="3" borderId="1" xfId="1" applyFont="1" applyFill="1" applyBorder="1" applyAlignment="1">
      <alignment horizontal="right" vertical="center"/>
    </xf>
    <xf numFmtId="38" fontId="18" fillId="3" borderId="3" xfId="1" applyFont="1" applyFill="1" applyBorder="1" applyAlignment="1">
      <alignment horizontal="right" vertical="center"/>
    </xf>
    <xf numFmtId="0" fontId="0" fillId="3" borderId="1" xfId="0" applyFill="1" applyBorder="1">
      <alignment vertical="center"/>
    </xf>
    <xf numFmtId="0" fontId="20" fillId="3" borderId="0" xfId="0" applyFont="1" applyFill="1">
      <alignment vertical="center"/>
    </xf>
    <xf numFmtId="0" fontId="20" fillId="3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38" fontId="4" fillId="8" borderId="1" xfId="1" applyFont="1" applyFill="1" applyBorder="1" applyAlignment="1">
      <alignment horizontal="center" vertical="center"/>
    </xf>
    <xf numFmtId="0" fontId="21" fillId="3" borderId="0" xfId="0" applyFont="1" applyFill="1">
      <alignment vertical="center"/>
    </xf>
    <xf numFmtId="0" fontId="21" fillId="3" borderId="0" xfId="0" applyFont="1" applyFill="1" applyAlignment="1">
      <alignment horizontal="center" vertical="center"/>
    </xf>
    <xf numFmtId="38" fontId="18" fillId="3" borderId="0" xfId="0" applyNumberFormat="1" applyFont="1" applyFill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18" fillId="3" borderId="0" xfId="0" applyFont="1" applyFill="1" applyProtection="1">
      <alignment vertical="center"/>
      <protection locked="0"/>
    </xf>
    <xf numFmtId="38" fontId="18" fillId="3" borderId="0" xfId="1" applyFont="1" applyFill="1" applyProtection="1">
      <alignment vertical="center"/>
      <protection locked="0"/>
    </xf>
    <xf numFmtId="0" fontId="23" fillId="3" borderId="0" xfId="0" applyFont="1" applyFill="1">
      <alignment vertical="center"/>
    </xf>
    <xf numFmtId="0" fontId="0" fillId="9" borderId="1" xfId="0" applyFill="1" applyBorder="1" applyAlignment="1">
      <alignment horizontal="center" vertical="center"/>
    </xf>
    <xf numFmtId="0" fontId="5" fillId="9" borderId="4" xfId="0" applyFont="1" applyFill="1" applyBorder="1" applyAlignment="1" applyProtection="1">
      <alignment horizontal="center" vertical="center"/>
      <protection locked="0"/>
    </xf>
    <xf numFmtId="38" fontId="4" fillId="9" borderId="3" xfId="1" applyFont="1" applyFill="1" applyBorder="1" applyAlignment="1" applyProtection="1">
      <alignment horizontal="center" vertical="center"/>
      <protection locked="0"/>
    </xf>
    <xf numFmtId="0" fontId="5" fillId="9" borderId="6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38" fontId="16" fillId="9" borderId="3" xfId="1" applyFont="1" applyFill="1" applyBorder="1" applyAlignment="1">
      <alignment horizontal="center" vertical="center"/>
    </xf>
    <xf numFmtId="178" fontId="4" fillId="9" borderId="1" xfId="1" applyNumberFormat="1" applyFont="1" applyFill="1" applyBorder="1" applyAlignment="1" applyProtection="1">
      <alignment horizontal="center" vertical="center"/>
      <protection locked="0"/>
    </xf>
    <xf numFmtId="0" fontId="0" fillId="9" borderId="1" xfId="0" applyFill="1" applyBorder="1" applyProtection="1">
      <alignment vertical="center"/>
      <protection locked="0"/>
    </xf>
    <xf numFmtId="0" fontId="24" fillId="3" borderId="0" xfId="0" applyFont="1" applyFill="1">
      <alignment vertical="center"/>
    </xf>
    <xf numFmtId="0" fontId="25" fillId="3" borderId="0" xfId="0" applyFont="1" applyFill="1">
      <alignment vertical="center"/>
    </xf>
    <xf numFmtId="38" fontId="16" fillId="8" borderId="1" xfId="1" applyFont="1" applyFill="1" applyBorder="1" applyAlignment="1">
      <alignment horizontal="center" vertical="center"/>
    </xf>
    <xf numFmtId="38" fontId="24" fillId="0" borderId="1" xfId="0" applyNumberFormat="1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0" fontId="27" fillId="3" borderId="0" xfId="0" applyFont="1" applyFill="1" applyAlignment="1">
      <alignment horizontal="left" vertical="center"/>
    </xf>
    <xf numFmtId="177" fontId="22" fillId="10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12" fillId="3" borderId="0" xfId="0" applyFont="1" applyFill="1" applyAlignment="1"/>
    <xf numFmtId="38" fontId="29" fillId="9" borderId="3" xfId="1" applyFont="1" applyFill="1" applyBorder="1" applyAlignment="1" applyProtection="1">
      <alignment horizontal="center" vertical="center"/>
      <protection locked="0"/>
    </xf>
    <xf numFmtId="178" fontId="29" fillId="9" borderId="1" xfId="1" applyNumberFormat="1" applyFont="1" applyFill="1" applyBorder="1" applyAlignment="1" applyProtection="1">
      <alignment horizontal="center" vertical="center"/>
      <protection locked="0"/>
    </xf>
    <xf numFmtId="0" fontId="28" fillId="9" borderId="1" xfId="0" applyFont="1" applyFill="1" applyBorder="1" applyProtection="1">
      <alignment vertical="center"/>
      <protection locked="0"/>
    </xf>
    <xf numFmtId="38" fontId="29" fillId="9" borderId="3" xfId="1" applyFont="1" applyFill="1" applyBorder="1" applyAlignment="1">
      <alignment horizontal="center" vertical="center"/>
    </xf>
    <xf numFmtId="38" fontId="3" fillId="0" borderId="5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12" fillId="0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38" fontId="0" fillId="0" borderId="0" xfId="0" applyNumberForma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14" fillId="3" borderId="8" xfId="0" applyFont="1" applyFill="1" applyBorder="1" applyAlignment="1">
      <alignment horizontal="center" vertical="center"/>
    </xf>
    <xf numFmtId="38" fontId="4" fillId="3" borderId="8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38" fontId="7" fillId="0" borderId="0" xfId="1" applyFont="1" applyFill="1" applyBorder="1" applyAlignment="1">
      <alignment horizontal="center" vertical="center"/>
    </xf>
    <xf numFmtId="38" fontId="17" fillId="0" borderId="0" xfId="1" applyFont="1" applyFill="1" applyBorder="1" applyAlignment="1">
      <alignment horizontal="center" vertical="center"/>
    </xf>
    <xf numFmtId="38" fontId="8" fillId="2" borderId="1" xfId="0" applyNumberFormat="1" applyFont="1" applyFill="1" applyBorder="1" applyAlignment="1">
      <alignment horizontal="center" vertical="center" shrinkToFit="1"/>
    </xf>
    <xf numFmtId="38" fontId="18" fillId="5" borderId="7" xfId="1" applyFont="1" applyFill="1" applyBorder="1">
      <alignment vertical="center"/>
    </xf>
    <xf numFmtId="38" fontId="3" fillId="0" borderId="5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38" fontId="0" fillId="0" borderId="5" xfId="0" applyNumberFormat="1" applyFill="1" applyBorder="1" applyAlignment="1">
      <alignment horizontal="center" vertical="center"/>
    </xf>
    <xf numFmtId="38" fontId="0" fillId="0" borderId="3" xfId="0" applyNumberForma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justify"/>
    </xf>
    <xf numFmtId="0" fontId="0" fillId="2" borderId="1" xfId="0" applyFill="1" applyBorder="1" applyAlignment="1">
      <alignment horizontal="center" vertical="center"/>
    </xf>
    <xf numFmtId="38" fontId="17" fillId="0" borderId="1" xfId="1" applyFont="1" applyFill="1" applyBorder="1" applyAlignment="1">
      <alignment horizontal="center" vertical="center"/>
    </xf>
    <xf numFmtId="38" fontId="17" fillId="0" borderId="5" xfId="1" applyFont="1" applyFill="1" applyBorder="1" applyAlignment="1">
      <alignment horizontal="center" vertical="center"/>
    </xf>
    <xf numFmtId="38" fontId="17" fillId="0" borderId="3" xfId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38" fontId="7" fillId="8" borderId="1" xfId="1" applyFont="1" applyFill="1" applyBorder="1" applyAlignment="1">
      <alignment horizontal="center" vertical="center"/>
    </xf>
    <xf numFmtId="38" fontId="7" fillId="2" borderId="1" xfId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EFFE5"/>
      <color rgb="FFEDF3F9"/>
      <color rgb="FFFEFFEF"/>
      <color rgb="FFFFFFEF"/>
      <color rgb="FFF7F7D5"/>
      <color rgb="FFECF4FA"/>
      <color rgb="FFF9FB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AD18" noThreeD="1"/>
</file>

<file path=xl/ctrlProps/ctrlProp10.xml><?xml version="1.0" encoding="utf-8"?>
<formControlPr xmlns="http://schemas.microsoft.com/office/spreadsheetml/2009/9/main" objectType="CheckBox" fmlaLink="AB21" noThreeD="1"/>
</file>

<file path=xl/ctrlProps/ctrlProp11.xml><?xml version="1.0" encoding="utf-8"?>
<formControlPr xmlns="http://schemas.microsoft.com/office/spreadsheetml/2009/9/main" objectType="CheckBox" fmlaLink="AB22" noThreeD="1"/>
</file>

<file path=xl/ctrlProps/ctrlProp12.xml><?xml version="1.0" encoding="utf-8"?>
<formControlPr xmlns="http://schemas.microsoft.com/office/spreadsheetml/2009/9/main" objectType="CheckBox" fmlaLink="AB23" noThreeD="1"/>
</file>

<file path=xl/ctrlProps/ctrlProp13.xml><?xml version="1.0" encoding="utf-8"?>
<formControlPr xmlns="http://schemas.microsoft.com/office/spreadsheetml/2009/9/main" objectType="CheckBox" fmlaLink="Z17" noThreeD="1"/>
</file>

<file path=xl/ctrlProps/ctrlProp14.xml><?xml version="1.0" encoding="utf-8"?>
<formControlPr xmlns="http://schemas.microsoft.com/office/spreadsheetml/2009/9/main" objectType="CheckBox" fmlaLink="Z18" noThreeD="1"/>
</file>

<file path=xl/ctrlProps/ctrlProp15.xml><?xml version="1.0" encoding="utf-8"?>
<formControlPr xmlns="http://schemas.microsoft.com/office/spreadsheetml/2009/9/main" objectType="CheckBox" fmlaLink="Z19" noThreeD="1"/>
</file>

<file path=xl/ctrlProps/ctrlProp16.xml><?xml version="1.0" encoding="utf-8"?>
<formControlPr xmlns="http://schemas.microsoft.com/office/spreadsheetml/2009/9/main" objectType="CheckBox" fmlaLink="Z20" noThreeD="1"/>
</file>

<file path=xl/ctrlProps/ctrlProp17.xml><?xml version="1.0" encoding="utf-8"?>
<formControlPr xmlns="http://schemas.microsoft.com/office/spreadsheetml/2009/9/main" objectType="CheckBox" fmlaLink="Z21" noThreeD="1"/>
</file>

<file path=xl/ctrlProps/ctrlProp18.xml><?xml version="1.0" encoding="utf-8"?>
<formControlPr xmlns="http://schemas.microsoft.com/office/spreadsheetml/2009/9/main" objectType="CheckBox" fmlaLink="Z22" lockText="1" noThreeD="1"/>
</file>

<file path=xl/ctrlProps/ctrlProp19.xml><?xml version="1.0" encoding="utf-8"?>
<formControlPr xmlns="http://schemas.microsoft.com/office/spreadsheetml/2009/9/main" objectType="CheckBox" checked="Checked" fmlaLink="X17" noThreeD="1"/>
</file>

<file path=xl/ctrlProps/ctrlProp2.xml><?xml version="1.0" encoding="utf-8"?>
<formControlPr xmlns="http://schemas.microsoft.com/office/spreadsheetml/2009/9/main" objectType="CheckBox" fmlaLink="AD19" noThreeD="1"/>
</file>

<file path=xl/ctrlProps/ctrlProp20.xml><?xml version="1.0" encoding="utf-8"?>
<formControlPr xmlns="http://schemas.microsoft.com/office/spreadsheetml/2009/9/main" objectType="CheckBox" checked="Checked" fmlaLink="X18" noThreeD="1"/>
</file>

<file path=xl/ctrlProps/ctrlProp21.xml><?xml version="1.0" encoding="utf-8"?>
<formControlPr xmlns="http://schemas.microsoft.com/office/spreadsheetml/2009/9/main" objectType="CheckBox" fmlaLink="X19" noThreeD="1"/>
</file>

<file path=xl/ctrlProps/ctrlProp22.xml><?xml version="1.0" encoding="utf-8"?>
<formControlPr xmlns="http://schemas.microsoft.com/office/spreadsheetml/2009/9/main" objectType="CheckBox" fmlaLink="X20" noThreeD="1"/>
</file>

<file path=xl/ctrlProps/ctrlProp23.xml><?xml version="1.0" encoding="utf-8"?>
<formControlPr xmlns="http://schemas.microsoft.com/office/spreadsheetml/2009/9/main" objectType="CheckBox" fmlaLink="X21" noThreeD="1"/>
</file>

<file path=xl/ctrlProps/ctrlProp24.xml><?xml version="1.0" encoding="utf-8"?>
<formControlPr xmlns="http://schemas.microsoft.com/office/spreadsheetml/2009/9/main" objectType="CheckBox" fmlaLink="X22" noThreeD="1"/>
</file>

<file path=xl/ctrlProps/ctrlProp3.xml><?xml version="1.0" encoding="utf-8"?>
<formControlPr xmlns="http://schemas.microsoft.com/office/spreadsheetml/2009/9/main" objectType="CheckBox" fmlaLink="AD20" noThreeD="1"/>
</file>

<file path=xl/ctrlProps/ctrlProp4.xml><?xml version="1.0" encoding="utf-8"?>
<formControlPr xmlns="http://schemas.microsoft.com/office/spreadsheetml/2009/9/main" objectType="CheckBox" fmlaLink="AD21" noThreeD="1"/>
</file>

<file path=xl/ctrlProps/ctrlProp5.xml><?xml version="1.0" encoding="utf-8"?>
<formControlPr xmlns="http://schemas.microsoft.com/office/spreadsheetml/2009/9/main" objectType="CheckBox" fmlaLink="AD22" noThreeD="1"/>
</file>

<file path=xl/ctrlProps/ctrlProp6.xml><?xml version="1.0" encoding="utf-8"?>
<formControlPr xmlns="http://schemas.microsoft.com/office/spreadsheetml/2009/9/main" objectType="CheckBox" fmlaLink="AD23" lockText="1" noThreeD="1"/>
</file>

<file path=xl/ctrlProps/ctrlProp7.xml><?xml version="1.0" encoding="utf-8"?>
<formControlPr xmlns="http://schemas.microsoft.com/office/spreadsheetml/2009/9/main" objectType="CheckBox" fmlaLink="AB18" noThreeD="1"/>
</file>

<file path=xl/ctrlProps/ctrlProp8.xml><?xml version="1.0" encoding="utf-8"?>
<formControlPr xmlns="http://schemas.microsoft.com/office/spreadsheetml/2009/9/main" objectType="CheckBox" fmlaLink="AB19" noThreeD="1"/>
</file>

<file path=xl/ctrlProps/ctrlProp9.xml><?xml version="1.0" encoding="utf-8"?>
<formControlPr xmlns="http://schemas.microsoft.com/office/spreadsheetml/2009/9/main" objectType="CheckBox" fmlaLink="AB20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1187246</xdr:colOff>
      <xdr:row>2</xdr:row>
      <xdr:rowOff>6974</xdr:rowOff>
    </xdr:from>
    <xdr:to>
      <xdr:col>2</xdr:col>
      <xdr:colOff>1061</xdr:colOff>
      <xdr:row>9</xdr:row>
      <xdr:rowOff>3705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H="1">
          <a:off x="1510268" y="487365"/>
          <a:ext cx="6510" cy="167810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</xdr:row>
          <xdr:rowOff>19050</xdr:rowOff>
        </xdr:from>
        <xdr:to>
          <xdr:col>5</xdr:col>
          <xdr:colOff>419100</xdr:colOff>
          <xdr:row>3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315829</xdr:colOff>
      <xdr:row>2</xdr:row>
      <xdr:rowOff>4146</xdr:rowOff>
    </xdr:from>
    <xdr:to>
      <xdr:col>1</xdr:col>
      <xdr:colOff>460</xdr:colOff>
      <xdr:row>9</xdr:row>
      <xdr:rowOff>879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H="1">
          <a:off x="315829" y="595353"/>
          <a:ext cx="6510" cy="206595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0</xdr:rowOff>
        </xdr:from>
        <xdr:to>
          <xdr:col>5</xdr:col>
          <xdr:colOff>428625</xdr:colOff>
          <xdr:row>4</xdr:row>
          <xdr:rowOff>247650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0</xdr:rowOff>
        </xdr:from>
        <xdr:to>
          <xdr:col>5</xdr:col>
          <xdr:colOff>428625</xdr:colOff>
          <xdr:row>5</xdr:row>
          <xdr:rowOff>247650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0</xdr:rowOff>
        </xdr:from>
        <xdr:to>
          <xdr:col>5</xdr:col>
          <xdr:colOff>428625</xdr:colOff>
          <xdr:row>6</xdr:row>
          <xdr:rowOff>247650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0</xdr:rowOff>
        </xdr:from>
        <xdr:to>
          <xdr:col>5</xdr:col>
          <xdr:colOff>428625</xdr:colOff>
          <xdr:row>7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0</xdr:rowOff>
        </xdr:from>
        <xdr:to>
          <xdr:col>5</xdr:col>
          <xdr:colOff>428625</xdr:colOff>
          <xdr:row>8</xdr:row>
          <xdr:rowOff>247650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</xdr:row>
          <xdr:rowOff>9525</xdr:rowOff>
        </xdr:from>
        <xdr:to>
          <xdr:col>4</xdr:col>
          <xdr:colOff>428625</xdr:colOff>
          <xdr:row>3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0</xdr:rowOff>
        </xdr:from>
        <xdr:to>
          <xdr:col>4</xdr:col>
          <xdr:colOff>428625</xdr:colOff>
          <xdr:row>4</xdr:row>
          <xdr:rowOff>247650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0</xdr:rowOff>
        </xdr:from>
        <xdr:to>
          <xdr:col>4</xdr:col>
          <xdr:colOff>428625</xdr:colOff>
          <xdr:row>5</xdr:row>
          <xdr:rowOff>247650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0</xdr:rowOff>
        </xdr:from>
        <xdr:to>
          <xdr:col>4</xdr:col>
          <xdr:colOff>428625</xdr:colOff>
          <xdr:row>6</xdr:row>
          <xdr:rowOff>247650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0</xdr:rowOff>
        </xdr:from>
        <xdr:to>
          <xdr:col>4</xdr:col>
          <xdr:colOff>428625</xdr:colOff>
          <xdr:row>7</xdr:row>
          <xdr:rowOff>247650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0</xdr:rowOff>
        </xdr:from>
        <xdr:to>
          <xdr:col>4</xdr:col>
          <xdr:colOff>428625</xdr:colOff>
          <xdr:row>8</xdr:row>
          <xdr:rowOff>247650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11</xdr:col>
      <xdr:colOff>214353</xdr:colOff>
      <xdr:row>34</xdr:row>
      <xdr:rowOff>56767</xdr:rowOff>
    </xdr:from>
    <xdr:to>
      <xdr:col>16</xdr:col>
      <xdr:colOff>330454</xdr:colOff>
      <xdr:row>44</xdr:row>
      <xdr:rowOff>6462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3478" y="5712236"/>
          <a:ext cx="1961570" cy="29262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1187246</xdr:colOff>
      <xdr:row>2</xdr:row>
      <xdr:rowOff>6974</xdr:rowOff>
    </xdr:from>
    <xdr:to>
      <xdr:col>2</xdr:col>
      <xdr:colOff>1061</xdr:colOff>
      <xdr:row>9</xdr:row>
      <xdr:rowOff>3705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H="1">
          <a:off x="1507286" y="586094"/>
          <a:ext cx="2535" cy="202365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</xdr:row>
          <xdr:rowOff>19050</xdr:rowOff>
        </xdr:from>
        <xdr:to>
          <xdr:col>5</xdr:col>
          <xdr:colOff>419100</xdr:colOff>
          <xdr:row>3</xdr:row>
          <xdr:rowOff>257175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315829</xdr:colOff>
      <xdr:row>2</xdr:row>
      <xdr:rowOff>4146</xdr:rowOff>
    </xdr:from>
    <xdr:to>
      <xdr:col>1</xdr:col>
      <xdr:colOff>460</xdr:colOff>
      <xdr:row>9</xdr:row>
      <xdr:rowOff>879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H="1">
          <a:off x="315829" y="583266"/>
          <a:ext cx="4671" cy="2023653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0</xdr:rowOff>
        </xdr:from>
        <xdr:to>
          <xdr:col>5</xdr:col>
          <xdr:colOff>428625</xdr:colOff>
          <xdr:row>4</xdr:row>
          <xdr:rowOff>247650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0</xdr:rowOff>
        </xdr:from>
        <xdr:to>
          <xdr:col>5</xdr:col>
          <xdr:colOff>428625</xdr:colOff>
          <xdr:row>5</xdr:row>
          <xdr:rowOff>247650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0</xdr:rowOff>
        </xdr:from>
        <xdr:to>
          <xdr:col>5</xdr:col>
          <xdr:colOff>428625</xdr:colOff>
          <xdr:row>6</xdr:row>
          <xdr:rowOff>247650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0</xdr:rowOff>
        </xdr:from>
        <xdr:to>
          <xdr:col>5</xdr:col>
          <xdr:colOff>428625</xdr:colOff>
          <xdr:row>7</xdr:row>
          <xdr:rowOff>247650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0</xdr:rowOff>
        </xdr:from>
        <xdr:to>
          <xdr:col>5</xdr:col>
          <xdr:colOff>428625</xdr:colOff>
          <xdr:row>8</xdr:row>
          <xdr:rowOff>247650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</xdr:row>
          <xdr:rowOff>9525</xdr:rowOff>
        </xdr:from>
        <xdr:to>
          <xdr:col>4</xdr:col>
          <xdr:colOff>428625</xdr:colOff>
          <xdr:row>3</xdr:row>
          <xdr:rowOff>257175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0</xdr:rowOff>
        </xdr:from>
        <xdr:to>
          <xdr:col>4</xdr:col>
          <xdr:colOff>428625</xdr:colOff>
          <xdr:row>4</xdr:row>
          <xdr:rowOff>247650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0</xdr:rowOff>
        </xdr:from>
        <xdr:to>
          <xdr:col>4</xdr:col>
          <xdr:colOff>428625</xdr:colOff>
          <xdr:row>5</xdr:row>
          <xdr:rowOff>247650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0</xdr:rowOff>
        </xdr:from>
        <xdr:to>
          <xdr:col>4</xdr:col>
          <xdr:colOff>428625</xdr:colOff>
          <xdr:row>6</xdr:row>
          <xdr:rowOff>247650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0</xdr:rowOff>
        </xdr:from>
        <xdr:to>
          <xdr:col>4</xdr:col>
          <xdr:colOff>428625</xdr:colOff>
          <xdr:row>7</xdr:row>
          <xdr:rowOff>247650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0</xdr:rowOff>
        </xdr:from>
        <xdr:to>
          <xdr:col>4</xdr:col>
          <xdr:colOff>428625</xdr:colOff>
          <xdr:row>8</xdr:row>
          <xdr:rowOff>247650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10</xdr:col>
      <xdr:colOff>214353</xdr:colOff>
      <xdr:row>33</xdr:row>
      <xdr:rowOff>56767</xdr:rowOff>
    </xdr:from>
    <xdr:to>
      <xdr:col>15</xdr:col>
      <xdr:colOff>330454</xdr:colOff>
      <xdr:row>43</xdr:row>
      <xdr:rowOff>6462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1093" y="5847967"/>
          <a:ext cx="1983001" cy="2845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6" Type="http://schemas.openxmlformats.org/officeDocument/2006/relationships/comments" Target="../comments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47"/>
  <sheetViews>
    <sheetView showGridLines="0" tabSelected="1" zoomScaleNormal="100" workbookViewId="0">
      <selection activeCell="I4" sqref="I4"/>
    </sheetView>
  </sheetViews>
  <sheetFormatPr defaultColWidth="9" defaultRowHeight="18.75"/>
  <cols>
    <col min="1" max="1" width="4.25" style="2" customWidth="1"/>
    <col min="2" max="4" width="15.625" style="2" customWidth="1"/>
    <col min="5" max="6" width="8.125" style="2" customWidth="1"/>
    <col min="7" max="8" width="15.625" style="2" customWidth="1"/>
    <col min="9" max="9" width="7.125" style="2" customWidth="1"/>
    <col min="10" max="10" width="5.125" style="2" customWidth="1"/>
    <col min="11" max="11" width="12.75" style="3" customWidth="1"/>
    <col min="12" max="16" width="4.875" style="2" customWidth="1"/>
    <col min="17" max="17" width="5.625" style="2" customWidth="1"/>
    <col min="18" max="25" width="4.875" style="2" customWidth="1"/>
    <col min="26" max="26" width="1.25" style="2" customWidth="1"/>
    <col min="27" max="27" width="9" style="2"/>
    <col min="28" max="36" width="9" style="8"/>
    <col min="37" max="16384" width="9" style="2"/>
  </cols>
  <sheetData>
    <row r="1" spans="1:27" ht="23.25" customHeight="1">
      <c r="A1" s="118" t="s">
        <v>65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</row>
    <row r="2" spans="1:27" ht="23.25" customHeight="1">
      <c r="A2" s="30"/>
      <c r="B2" s="89" t="s">
        <v>21</v>
      </c>
      <c r="C2" s="24"/>
      <c r="D2" s="24"/>
      <c r="E2" s="24"/>
      <c r="F2" s="24"/>
      <c r="G2" s="24" t="s">
        <v>86</v>
      </c>
      <c r="H2" s="24"/>
      <c r="I2" s="102"/>
      <c r="J2" s="24"/>
      <c r="K2" s="86" t="s">
        <v>75</v>
      </c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</row>
    <row r="3" spans="1:27" ht="23.25" customHeight="1">
      <c r="A3" s="31"/>
      <c r="B3" s="21" t="s">
        <v>7</v>
      </c>
      <c r="C3" s="22" t="s">
        <v>6</v>
      </c>
      <c r="D3" s="22" t="s">
        <v>14</v>
      </c>
      <c r="E3" s="54" t="s">
        <v>18</v>
      </c>
      <c r="F3" s="54" t="s">
        <v>63</v>
      </c>
      <c r="G3" s="23" t="s">
        <v>47</v>
      </c>
      <c r="H3" s="23" t="s">
        <v>76</v>
      </c>
      <c r="I3" s="103"/>
      <c r="J3" s="24"/>
      <c r="K3" s="87">
        <v>8</v>
      </c>
      <c r="L3" s="34" t="s">
        <v>46</v>
      </c>
      <c r="M3" s="35">
        <v>4</v>
      </c>
      <c r="N3" s="35">
        <v>5</v>
      </c>
      <c r="O3" s="35">
        <v>6</v>
      </c>
      <c r="P3" s="35">
        <v>7</v>
      </c>
      <c r="Q3" s="35">
        <v>8</v>
      </c>
      <c r="R3" s="35">
        <v>9</v>
      </c>
      <c r="S3" s="35">
        <v>10</v>
      </c>
      <c r="T3" s="35">
        <v>11</v>
      </c>
      <c r="U3" s="35">
        <v>12</v>
      </c>
      <c r="V3" s="35">
        <v>1</v>
      </c>
      <c r="W3" s="35">
        <v>2</v>
      </c>
      <c r="X3" s="35">
        <v>3</v>
      </c>
      <c r="Y3" s="17" t="s">
        <v>12</v>
      </c>
      <c r="Z3" s="24"/>
      <c r="AA3" s="27" t="s">
        <v>15</v>
      </c>
    </row>
    <row r="4" spans="1:27" ht="23.25" customHeight="1">
      <c r="A4" s="31" t="s">
        <v>64</v>
      </c>
      <c r="B4" s="74"/>
      <c r="C4" s="75"/>
      <c r="D4" s="4" t="str">
        <f>IF(C4="","",IF(Z17=TRUE,IF((C4/100*30)-$C$12&lt;0,0,(C4/100*30)-$C$12),
IF(C4-$C$12&lt;0,0,C4-$C$12)))</f>
        <v/>
      </c>
      <c r="E4" s="78"/>
      <c r="F4" s="83"/>
      <c r="G4" s="79"/>
      <c r="H4" s="65" t="str">
        <f>IFERROR(IF(G4="","",DATEDIF(G4,$L$17,"Y")),"-")</f>
        <v/>
      </c>
      <c r="I4" s="104"/>
      <c r="J4" s="24"/>
      <c r="K4" s="5" t="str">
        <f t="shared" ref="K4:K9" si="0">IF(B4=0,"",B4)</f>
        <v/>
      </c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9">
        <f>COUNTIF(M4:X4,1)+COUNTIF(M4:X4,3)</f>
        <v>0</v>
      </c>
      <c r="Z4" s="24"/>
      <c r="AA4" s="28" t="s">
        <v>16</v>
      </c>
    </row>
    <row r="5" spans="1:27" ht="23.25" customHeight="1">
      <c r="A5" s="31"/>
      <c r="B5" s="76"/>
      <c r="C5" s="75"/>
      <c r="D5" s="4" t="str">
        <f t="shared" ref="D5:D9" si="1">IF(C5="","",IF(Z18=TRUE,IF((C5/100*30)-$C$12&lt;0,0,(C5/100*30)-$C$12),
IF(C5-$C$12&lt;0,0,C5-$C$12)))</f>
        <v/>
      </c>
      <c r="E5" s="78"/>
      <c r="F5" s="83"/>
      <c r="G5" s="79"/>
      <c r="H5" s="65" t="str">
        <f t="shared" ref="H5:H9" si="2">IFERROR(IF(G5="","",DATEDIF(G5,$L$17,"Y")),"-")</f>
        <v/>
      </c>
      <c r="I5" s="104"/>
      <c r="J5" s="24"/>
      <c r="K5" s="5" t="str">
        <f t="shared" si="0"/>
        <v/>
      </c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9">
        <f>COUNTIF(M5:X5,1)+COUNTIF(M5:X5,3)</f>
        <v>0</v>
      </c>
      <c r="Z5" s="24"/>
      <c r="AA5" s="28" t="s">
        <v>17</v>
      </c>
    </row>
    <row r="6" spans="1:27" ht="23.25" customHeight="1">
      <c r="A6" s="32"/>
      <c r="B6" s="76"/>
      <c r="C6" s="75"/>
      <c r="D6" s="4" t="str">
        <f t="shared" si="1"/>
        <v/>
      </c>
      <c r="E6" s="78"/>
      <c r="F6" s="83"/>
      <c r="G6" s="79"/>
      <c r="H6" s="65" t="str">
        <f t="shared" si="2"/>
        <v/>
      </c>
      <c r="I6" s="104"/>
      <c r="J6" s="24"/>
      <c r="K6" s="5" t="str">
        <f t="shared" si="0"/>
        <v/>
      </c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9">
        <f t="shared" ref="Y6:Y9" si="3">COUNTIF(M6:X6,1)+COUNTIF(M6:X6,3)</f>
        <v>0</v>
      </c>
      <c r="Z6" s="24"/>
      <c r="AA6" s="28"/>
    </row>
    <row r="7" spans="1:27" ht="23.25" customHeight="1">
      <c r="A7" s="32"/>
      <c r="B7" s="77"/>
      <c r="C7" s="75"/>
      <c r="D7" s="4" t="str">
        <f t="shared" si="1"/>
        <v/>
      </c>
      <c r="E7" s="78"/>
      <c r="F7" s="83"/>
      <c r="G7" s="79"/>
      <c r="H7" s="65" t="str">
        <f t="shared" si="2"/>
        <v/>
      </c>
      <c r="I7" s="104"/>
      <c r="J7" s="24"/>
      <c r="K7" s="5" t="str">
        <f t="shared" si="0"/>
        <v/>
      </c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9">
        <f t="shared" si="3"/>
        <v>0</v>
      </c>
      <c r="Z7" s="24"/>
      <c r="AA7" s="28"/>
    </row>
    <row r="8" spans="1:27" ht="23.25" customHeight="1">
      <c r="A8" s="32"/>
      <c r="B8" s="77"/>
      <c r="C8" s="75"/>
      <c r="D8" s="4" t="str">
        <f t="shared" si="1"/>
        <v/>
      </c>
      <c r="E8" s="78"/>
      <c r="F8" s="83"/>
      <c r="G8" s="79"/>
      <c r="H8" s="65" t="str">
        <f t="shared" si="2"/>
        <v/>
      </c>
      <c r="I8" s="104"/>
      <c r="J8" s="24"/>
      <c r="K8" s="5" t="str">
        <f t="shared" si="0"/>
        <v/>
      </c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9">
        <f t="shared" si="3"/>
        <v>0</v>
      </c>
      <c r="Z8" s="24"/>
      <c r="AA8" s="24"/>
    </row>
    <row r="9" spans="1:27" ht="23.25" customHeight="1">
      <c r="A9" s="32"/>
      <c r="B9" s="77"/>
      <c r="C9" s="75"/>
      <c r="D9" s="4" t="str">
        <f t="shared" si="1"/>
        <v/>
      </c>
      <c r="E9" s="78"/>
      <c r="F9" s="83"/>
      <c r="G9" s="79"/>
      <c r="H9" s="65" t="str">
        <f t="shared" si="2"/>
        <v/>
      </c>
      <c r="I9" s="104"/>
      <c r="J9" s="24"/>
      <c r="K9" s="5" t="str">
        <f t="shared" si="0"/>
        <v/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9">
        <f t="shared" si="3"/>
        <v>0</v>
      </c>
      <c r="Z9" s="24"/>
      <c r="AA9" s="24"/>
    </row>
    <row r="10" spans="1:27" ht="23.25" customHeight="1">
      <c r="A10" s="32"/>
      <c r="B10" s="32" t="s">
        <v>74</v>
      </c>
      <c r="C10" s="32"/>
      <c r="D10" s="32"/>
      <c r="E10" s="32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23.25" customHeight="1">
      <c r="A11" s="32"/>
      <c r="B11" s="15"/>
      <c r="C11" s="16" t="s">
        <v>38</v>
      </c>
      <c r="D11" s="15" t="s">
        <v>39</v>
      </c>
      <c r="E11" s="114" t="s">
        <v>40</v>
      </c>
      <c r="F11" s="115"/>
      <c r="G11" s="18" t="s">
        <v>41</v>
      </c>
      <c r="H11" s="18" t="s">
        <v>77</v>
      </c>
      <c r="I11" s="24"/>
      <c r="J11" s="24"/>
      <c r="K11" s="15" t="s">
        <v>30</v>
      </c>
      <c r="L11" s="12">
        <f>IF(S11&lt;=O11,3,IF(AND(O11&lt;S11,S11&lt;=O12),5,IF(AND(O12&lt;S11,S11&lt;=O13),8,10)))</f>
        <v>3</v>
      </c>
      <c r="M11" s="123" t="s">
        <v>11</v>
      </c>
      <c r="N11" s="124"/>
      <c r="O11" s="121">
        <f>'国民健康保険税　試算シート'!$C$12+100000*(L12-1)</f>
        <v>430000</v>
      </c>
      <c r="P11" s="122"/>
      <c r="Q11" s="123" t="s">
        <v>19</v>
      </c>
      <c r="R11" s="124"/>
      <c r="S11" s="121">
        <f>SUMIFS($C4:$C9,L4:L9,"&gt;=1")</f>
        <v>0</v>
      </c>
      <c r="T11" s="122"/>
      <c r="U11" s="24"/>
      <c r="V11" s="24"/>
      <c r="W11" s="24"/>
      <c r="X11" s="24"/>
      <c r="Y11" s="24"/>
      <c r="Z11" s="24"/>
      <c r="AA11" s="24"/>
    </row>
    <row r="12" spans="1:27" ht="23.25" customHeight="1">
      <c r="A12" s="32"/>
      <c r="B12" s="15" t="s">
        <v>24</v>
      </c>
      <c r="C12" s="10">
        <v>430000</v>
      </c>
      <c r="D12" s="11">
        <v>0.06</v>
      </c>
      <c r="E12" s="125">
        <v>2.7E-2</v>
      </c>
      <c r="F12" s="126"/>
      <c r="G12" s="11">
        <v>2.3E-2</v>
      </c>
      <c r="H12" s="11">
        <v>2E-3</v>
      </c>
      <c r="I12" s="24"/>
      <c r="J12" s="24"/>
      <c r="K12" s="15" t="s">
        <v>18</v>
      </c>
      <c r="L12" s="12">
        <f>IF(COUNTIF(AB18:AB23,"TRUE")=0,1,COUNTIF(AB18:AB23,"TRUE"))</f>
        <v>1</v>
      </c>
      <c r="M12" s="123" t="s">
        <v>9</v>
      </c>
      <c r="N12" s="124"/>
      <c r="O12" s="121">
        <f>'国民健康保険税　試算シート'!$C$12+(310000*(L13)+100000*(L12-1))</f>
        <v>430000</v>
      </c>
      <c r="P12" s="122"/>
      <c r="Q12" s="123" t="s">
        <v>68</v>
      </c>
      <c r="R12" s="124"/>
      <c r="S12" s="121">
        <f>IF(I4&lt;6,SUM(L19,M19),0)+IF(I5&lt;6,SUM(L20,M20),0)+IF(I6&lt;6,SUM(L21,M21),0)+IF(I7&lt;6,SUM(L22,M22),0)+IF(I8&lt;6,SUM(L23,M23),0)+IF(I9&lt;6,SUM(L24,M24),0)</f>
        <v>0</v>
      </c>
      <c r="T12" s="122"/>
      <c r="U12" s="45"/>
      <c r="V12" s="45"/>
      <c r="W12" s="45"/>
      <c r="X12" s="45"/>
      <c r="Y12" s="29"/>
      <c r="Z12" s="24"/>
      <c r="AA12" s="24"/>
    </row>
    <row r="13" spans="1:27" ht="23.25" customHeight="1">
      <c r="A13" s="32"/>
      <c r="B13" s="19" t="s">
        <v>78</v>
      </c>
      <c r="C13" s="64" t="s">
        <v>4</v>
      </c>
      <c r="D13" s="10">
        <v>23000</v>
      </c>
      <c r="E13" s="110">
        <v>10000</v>
      </c>
      <c r="F13" s="111"/>
      <c r="G13" s="10">
        <v>10500</v>
      </c>
      <c r="H13" s="10">
        <v>1200</v>
      </c>
      <c r="I13" s="24"/>
      <c r="J13" s="24"/>
      <c r="K13" s="15" t="s">
        <v>20</v>
      </c>
      <c r="L13" s="12">
        <f>(COUNTIF(L4:L9,"3")+COUNTIF(L4:L9,"1")+COUNTIF(L4:L9,"32")+COUNTIF(L4:L9,"33"))</f>
        <v>0</v>
      </c>
      <c r="M13" s="119" t="s">
        <v>10</v>
      </c>
      <c r="N13" s="119"/>
      <c r="O13" s="120">
        <f>'国民健康保険税　試算シート'!$C$12+(570000*(L13)+100000*(L12-1))</f>
        <v>430000</v>
      </c>
      <c r="P13" s="120"/>
      <c r="Q13" s="128" t="s">
        <v>85</v>
      </c>
      <c r="R13" s="128"/>
      <c r="S13" s="127">
        <f>IF(I4&lt;18,SUM(O19,P19),0)+IF(I5&lt;18,SUM(O20,P20),0)+IF(I6&lt;18,SUM(O21,P21),0)+IF(I7&lt;18,SUM(O22,P22),0)+IF(I8&lt;18,SUM(O23,P23),0)+IF(I9&lt;18,SUM(O24,P24),0)</f>
        <v>0</v>
      </c>
      <c r="T13" s="127"/>
      <c r="U13" s="46"/>
      <c r="V13" s="46"/>
      <c r="W13" s="46"/>
      <c r="X13" s="46"/>
      <c r="Y13" s="29"/>
      <c r="Z13" s="24"/>
      <c r="AA13" s="24"/>
    </row>
    <row r="14" spans="1:27" ht="23.25" customHeight="1">
      <c r="A14" s="32"/>
      <c r="B14" s="108" t="s">
        <v>79</v>
      </c>
      <c r="C14" s="64" t="s">
        <v>4</v>
      </c>
      <c r="D14" s="10"/>
      <c r="E14" s="94"/>
      <c r="F14" s="95"/>
      <c r="G14" s="10"/>
      <c r="H14" s="10">
        <v>100</v>
      </c>
      <c r="I14" s="24"/>
      <c r="J14" s="24"/>
      <c r="K14" s="105"/>
      <c r="L14" s="106"/>
      <c r="M14" s="105"/>
      <c r="N14" s="105"/>
      <c r="O14" s="107"/>
      <c r="P14" s="107"/>
      <c r="Q14" s="46"/>
      <c r="R14" s="46"/>
      <c r="S14" s="46"/>
      <c r="T14" s="46"/>
      <c r="U14" s="46"/>
      <c r="V14" s="46"/>
      <c r="W14" s="46"/>
      <c r="X14" s="46"/>
      <c r="Y14" s="29"/>
      <c r="Z14" s="24"/>
      <c r="AA14" s="24"/>
    </row>
    <row r="15" spans="1:27" ht="23.25" customHeight="1">
      <c r="A15" s="32"/>
      <c r="B15" s="15" t="s">
        <v>1</v>
      </c>
      <c r="C15" s="64" t="s">
        <v>5</v>
      </c>
      <c r="D15" s="10">
        <v>18500</v>
      </c>
      <c r="E15" s="110">
        <v>8000</v>
      </c>
      <c r="F15" s="111"/>
      <c r="G15" s="10">
        <v>6000</v>
      </c>
      <c r="H15" s="10">
        <v>800</v>
      </c>
      <c r="I15" s="24"/>
      <c r="J15" s="24"/>
      <c r="K15" s="73"/>
      <c r="L15" s="82" t="s">
        <v>37</v>
      </c>
      <c r="M15" s="24"/>
      <c r="N15" s="24"/>
      <c r="O15" s="24"/>
      <c r="P15" s="24"/>
      <c r="Q15" s="24"/>
      <c r="R15" s="24"/>
      <c r="S15" s="24"/>
      <c r="T15" s="24"/>
      <c r="U15" s="46"/>
      <c r="V15" s="46"/>
      <c r="W15" s="46"/>
      <c r="X15" s="46"/>
      <c r="Y15" s="29"/>
      <c r="Z15" s="24"/>
      <c r="AA15" s="24"/>
    </row>
    <row r="16" spans="1:27" ht="23.25" customHeight="1">
      <c r="A16" s="24"/>
      <c r="B16" s="15" t="s">
        <v>3</v>
      </c>
      <c r="C16" s="13"/>
      <c r="D16" s="10">
        <v>660000</v>
      </c>
      <c r="E16" s="110">
        <v>260000</v>
      </c>
      <c r="F16" s="111"/>
      <c r="G16" s="10">
        <v>170000</v>
      </c>
      <c r="H16" s="10">
        <v>30000</v>
      </c>
      <c r="I16" s="24"/>
      <c r="J16" s="24"/>
      <c r="K16" s="25"/>
      <c r="L16" s="24"/>
      <c r="M16" s="24"/>
      <c r="N16" s="24"/>
      <c r="O16" s="24"/>
      <c r="P16" s="24"/>
      <c r="Q16" s="24"/>
      <c r="R16" s="24"/>
      <c r="S16" s="24"/>
      <c r="T16" s="24"/>
      <c r="U16" s="46"/>
      <c r="V16" s="46"/>
      <c r="W16" s="46"/>
      <c r="X16" s="46"/>
      <c r="Y16" s="29"/>
      <c r="Z16" s="24"/>
      <c r="AA16" s="24"/>
    </row>
    <row r="17" spans="1:39" ht="23.25" customHeight="1">
      <c r="A17" s="24"/>
      <c r="B17" s="49"/>
      <c r="C17" s="30"/>
      <c r="D17" s="50"/>
      <c r="E17" s="50"/>
      <c r="F17" s="50"/>
      <c r="G17" s="50"/>
      <c r="H17" s="50"/>
      <c r="I17" s="24"/>
      <c r="J17" s="24"/>
      <c r="K17" s="25"/>
      <c r="L17" s="36">
        <f>DATE(2018+$K$3,M3,1)</f>
        <v>46113</v>
      </c>
      <c r="M17" s="36">
        <f>DATE(2018+$K$3,M3,30)</f>
        <v>46142</v>
      </c>
      <c r="N17" s="36">
        <f>DATE(2018+$K$3,N3,31)</f>
        <v>46173</v>
      </c>
      <c r="O17" s="36">
        <f>DATE(2018+$K$3,O3,30)</f>
        <v>46203</v>
      </c>
      <c r="P17" s="36">
        <f>DATE(2018+$K$3,P3,31)</f>
        <v>46234</v>
      </c>
      <c r="Q17" s="36">
        <f>DATE(2018+$K$3,Q3,31)</f>
        <v>46265</v>
      </c>
      <c r="R17" s="36">
        <f>DATE(2018+$K$3,R3,30)</f>
        <v>46295</v>
      </c>
      <c r="S17" s="36">
        <f>DATE(2018+$K$3,S3,31)</f>
        <v>46326</v>
      </c>
      <c r="T17" s="36">
        <f>DATE(2018+$K$3,T3,30)</f>
        <v>46356</v>
      </c>
      <c r="U17" s="36">
        <f>DATE(2018+$K$3,U3,31)</f>
        <v>46387</v>
      </c>
      <c r="V17" s="36">
        <f>DATE(2019+$K$3,V3,31)</f>
        <v>46418</v>
      </c>
      <c r="W17" s="36">
        <f>DATE(2019+$K$3,W3,28)</f>
        <v>46446</v>
      </c>
      <c r="X17" s="36">
        <f>DATE(2019+$K$3,X3,31)</f>
        <v>46477</v>
      </c>
      <c r="Y17" s="66" t="s">
        <v>66</v>
      </c>
      <c r="Z17" s="24"/>
      <c r="AA17" s="67" t="s">
        <v>67</v>
      </c>
    </row>
    <row r="18" spans="1:39" ht="23.25" hidden="1" customHeight="1">
      <c r="A18" s="24"/>
      <c r="B18" s="49"/>
      <c r="C18" s="30"/>
      <c r="D18" s="50"/>
      <c r="E18" s="50"/>
      <c r="F18" s="50"/>
      <c r="G18" s="50"/>
      <c r="H18" s="50"/>
      <c r="I18" s="24"/>
      <c r="J18" s="24"/>
      <c r="K18" s="57"/>
      <c r="L18" s="57" t="s">
        <v>48</v>
      </c>
      <c r="M18" s="58" t="s">
        <v>55</v>
      </c>
      <c r="N18" s="42" t="s">
        <v>56</v>
      </c>
      <c r="O18" s="42" t="s">
        <v>80</v>
      </c>
      <c r="P18" s="42" t="s">
        <v>81</v>
      </c>
      <c r="Q18" s="41" t="s">
        <v>57</v>
      </c>
      <c r="R18" s="44" t="s">
        <v>58</v>
      </c>
      <c r="S18" s="42" t="s">
        <v>59</v>
      </c>
      <c r="T18" s="42" t="s">
        <v>82</v>
      </c>
      <c r="U18" s="41" t="s">
        <v>60</v>
      </c>
      <c r="V18" s="44" t="s">
        <v>61</v>
      </c>
      <c r="W18" s="42" t="s">
        <v>62</v>
      </c>
      <c r="X18" s="42" t="s">
        <v>83</v>
      </c>
      <c r="Y18" s="12"/>
      <c r="Z18" s="12"/>
      <c r="AA18" s="12"/>
      <c r="AB18" s="68" t="b">
        <v>0</v>
      </c>
      <c r="AC18" s="69"/>
      <c r="AD18" s="70" t="b">
        <v>0</v>
      </c>
      <c r="AK18" s="8"/>
      <c r="AL18" s="8"/>
      <c r="AM18" s="8"/>
    </row>
    <row r="19" spans="1:39" ht="23.25" hidden="1" customHeight="1">
      <c r="A19" s="24"/>
      <c r="B19" s="51"/>
      <c r="C19" s="52"/>
      <c r="D19" s="32"/>
      <c r="E19" s="32"/>
      <c r="F19" s="24"/>
      <c r="G19" s="24"/>
      <c r="H19" s="24"/>
      <c r="I19" s="24"/>
      <c r="J19" s="24"/>
      <c r="K19" s="57" t="s">
        <v>49</v>
      </c>
      <c r="L19" s="59">
        <f>IF(H4&lt;6,(($D$13)/12*(Y4)/10*$L$11)/2,($D$13)/12*(Y4)/10*$L$11)</f>
        <v>0</v>
      </c>
      <c r="M19" s="60">
        <f>IF(H4&lt;6,(($E$13)/12*(Y4)/10*$L$11)/2,($E$13)/12*(Y4)/10*$L$11)</f>
        <v>0</v>
      </c>
      <c r="N19" s="47">
        <f t="shared" ref="N19:N24" si="4">$G$13/12*L25/10*$L$11</f>
        <v>0</v>
      </c>
      <c r="O19" s="47">
        <f>IF(H4&lt;18,0,($H$13)/12*(Y4)/10*$L$11)</f>
        <v>0</v>
      </c>
      <c r="P19" s="47">
        <f>IF(H4&lt;18,0,($H$14)/12*(Y4)/10*$L$11)</f>
        <v>0</v>
      </c>
      <c r="Q19" s="47" t="str">
        <f t="shared" ref="Q19:Q24" si="5">IFERROR(D4*$D$12/12*$Y4,"0")</f>
        <v>0</v>
      </c>
      <c r="R19" s="48" t="str">
        <f t="shared" ref="R19:R24" si="6">IFERROR(D4*$E$12/12*Y4,"0")</f>
        <v>0</v>
      </c>
      <c r="S19" s="47" t="str">
        <f t="shared" ref="S19:S24" si="7">IFERROR($G$12*D4/12*L25,"0")</f>
        <v>0</v>
      </c>
      <c r="T19" s="47" t="str">
        <f>IFERROR(D4*$H$12/12*$Y4,"0")</f>
        <v>0</v>
      </c>
      <c r="U19" s="39">
        <f>MAX(Y4:Y9)*D15/12/10*L11</f>
        <v>0</v>
      </c>
      <c r="V19" s="39">
        <f>MAX(Y4:Y9)*E15/12/10*L11</f>
        <v>0</v>
      </c>
      <c r="W19" s="39">
        <f>G15*MAX(L25:L30)/12/10*L11</f>
        <v>0</v>
      </c>
      <c r="X19" s="109">
        <f>MAX(Y4:Y9)*H15/12/10*L11</f>
        <v>0</v>
      </c>
      <c r="Y19" s="43"/>
      <c r="Z19" s="43"/>
      <c r="AA19" s="43"/>
      <c r="AB19" s="68" t="b">
        <v>0</v>
      </c>
      <c r="AC19" s="69"/>
      <c r="AD19" s="71" t="b">
        <v>0</v>
      </c>
      <c r="AK19" s="8"/>
      <c r="AL19" s="8"/>
      <c r="AM19" s="8"/>
    </row>
    <row r="20" spans="1:39" ht="23.25" hidden="1" customHeight="1">
      <c r="A20" s="24"/>
      <c r="B20" s="51"/>
      <c r="C20" s="52"/>
      <c r="D20" s="32"/>
      <c r="E20" s="32"/>
      <c r="F20" s="24"/>
      <c r="G20" s="24"/>
      <c r="H20" s="24"/>
      <c r="I20" s="24"/>
      <c r="J20" s="24"/>
      <c r="K20" s="57" t="s">
        <v>50</v>
      </c>
      <c r="L20" s="59">
        <f>IF(H5&lt;6,(($D$13)/12*(Y5)/10*$L$11)/2,($D$13)/12*(Y5)/10*$L$11)</f>
        <v>0</v>
      </c>
      <c r="M20" s="60">
        <f>IF(H5&lt;6,(($E$13)/12*(Y5)/10*$L$11)/2,($E$13)/12*(Y5)/10*$L$11)</f>
        <v>0</v>
      </c>
      <c r="N20" s="47">
        <f t="shared" si="4"/>
        <v>0</v>
      </c>
      <c r="O20" s="47">
        <f>IF(H5&lt;18,0,($H$13)/12*(Y5)/10*$L$11)</f>
        <v>0</v>
      </c>
      <c r="P20" s="47">
        <f>IF(H5&lt;18,0,($H$14)/12*(Y5)/10*$L$11)</f>
        <v>0</v>
      </c>
      <c r="Q20" s="47" t="str">
        <f t="shared" si="5"/>
        <v>0</v>
      </c>
      <c r="R20" s="48" t="str">
        <f t="shared" si="6"/>
        <v>0</v>
      </c>
      <c r="S20" s="47" t="str">
        <f t="shared" si="7"/>
        <v>0</v>
      </c>
      <c r="T20" s="47" t="str">
        <f t="shared" ref="T20:T24" si="8">IFERROR(D5*$H$12/12*$Y5,"0")</f>
        <v>0</v>
      </c>
      <c r="U20" s="37"/>
      <c r="V20" s="37"/>
      <c r="W20" s="37"/>
      <c r="X20" s="37"/>
      <c r="Y20" s="37"/>
      <c r="Z20" s="37"/>
      <c r="AA20" s="37"/>
      <c r="AB20" s="68" t="b">
        <v>0</v>
      </c>
      <c r="AC20" s="69"/>
      <c r="AD20" s="71" t="b">
        <v>0</v>
      </c>
      <c r="AK20" s="8"/>
      <c r="AL20" s="8"/>
      <c r="AM20" s="8"/>
    </row>
    <row r="21" spans="1:39" ht="23.25" hidden="1" customHeight="1">
      <c r="A21" s="24"/>
      <c r="B21" s="51"/>
      <c r="C21" s="52"/>
      <c r="D21" s="32"/>
      <c r="E21" s="32"/>
      <c r="F21" s="24"/>
      <c r="G21" s="24"/>
      <c r="H21" s="24"/>
      <c r="I21" s="24"/>
      <c r="J21" s="24"/>
      <c r="K21" s="57" t="s">
        <v>51</v>
      </c>
      <c r="L21" s="59">
        <f t="shared" ref="L21:L24" si="9">IF(H6&lt;6,(($D$13)/12*(Y6)/10*$L$11)/2,($D$13)/12*(Y6)/10*$L$11)</f>
        <v>0</v>
      </c>
      <c r="M21" s="60">
        <f t="shared" ref="M21:M24" si="10">IF(H6&lt;6,(($E$13)/12*(Y6)/10*$L$11)/2,($E$13)/12*(Y6)/10*$L$11)</f>
        <v>0</v>
      </c>
      <c r="N21" s="47">
        <f t="shared" si="4"/>
        <v>0</v>
      </c>
      <c r="O21" s="47">
        <f t="shared" ref="O21:O24" si="11">IF(H6&lt;18,0,($H$13)/12*(Y6)/10*$L$11)</f>
        <v>0</v>
      </c>
      <c r="P21" s="47">
        <f t="shared" ref="P21:P24" si="12">IF(H6&lt;18,0,($H$14)/12*(Y6)/10*$L$11)</f>
        <v>0</v>
      </c>
      <c r="Q21" s="47" t="str">
        <f t="shared" si="5"/>
        <v>0</v>
      </c>
      <c r="R21" s="48" t="str">
        <f t="shared" si="6"/>
        <v>0</v>
      </c>
      <c r="S21" s="47" t="str">
        <f t="shared" si="7"/>
        <v>0</v>
      </c>
      <c r="T21" s="47" t="str">
        <f t="shared" si="8"/>
        <v>0</v>
      </c>
      <c r="U21" s="37"/>
      <c r="V21" s="37"/>
      <c r="W21" s="37"/>
      <c r="X21" s="37"/>
      <c r="Y21" s="37"/>
      <c r="Z21" s="37"/>
      <c r="AA21" s="37"/>
      <c r="AB21" s="68" t="b">
        <v>0</v>
      </c>
      <c r="AC21" s="69"/>
      <c r="AD21" s="71" t="b">
        <v>0</v>
      </c>
      <c r="AK21" s="8"/>
      <c r="AL21" s="8"/>
      <c r="AM21" s="8"/>
    </row>
    <row r="22" spans="1:39" ht="23.25" hidden="1" customHeight="1">
      <c r="A22" s="24"/>
      <c r="B22" s="51"/>
      <c r="C22" s="52"/>
      <c r="D22" s="32"/>
      <c r="E22" s="32"/>
      <c r="F22" s="24"/>
      <c r="G22" s="24"/>
      <c r="H22" s="24"/>
      <c r="I22" s="24"/>
      <c r="J22" s="24"/>
      <c r="K22" s="57" t="s">
        <v>52</v>
      </c>
      <c r="L22" s="59">
        <f t="shared" si="9"/>
        <v>0</v>
      </c>
      <c r="M22" s="60">
        <f t="shared" si="10"/>
        <v>0</v>
      </c>
      <c r="N22" s="47">
        <f t="shared" si="4"/>
        <v>0</v>
      </c>
      <c r="O22" s="47">
        <f>IF(H7&lt;18,0,($H$13)/12*(Y7)/10*$L$11)</f>
        <v>0</v>
      </c>
      <c r="P22" s="47">
        <f t="shared" si="12"/>
        <v>0</v>
      </c>
      <c r="Q22" s="47" t="str">
        <f t="shared" si="5"/>
        <v>0</v>
      </c>
      <c r="R22" s="48" t="str">
        <f t="shared" si="6"/>
        <v>0</v>
      </c>
      <c r="S22" s="47" t="str">
        <f t="shared" si="7"/>
        <v>0</v>
      </c>
      <c r="T22" s="47" t="str">
        <f t="shared" si="8"/>
        <v>0</v>
      </c>
      <c r="U22" s="37"/>
      <c r="V22" s="37"/>
      <c r="W22" s="37"/>
      <c r="X22" s="37"/>
      <c r="Y22" s="37"/>
      <c r="Z22" s="37"/>
      <c r="AA22" s="37"/>
      <c r="AB22" s="68" t="b">
        <v>0</v>
      </c>
      <c r="AC22" s="69"/>
      <c r="AD22" s="71" t="b">
        <v>0</v>
      </c>
      <c r="AK22" s="8"/>
      <c r="AL22" s="8"/>
      <c r="AM22" s="8"/>
    </row>
    <row r="23" spans="1:39" ht="23.25" hidden="1" customHeight="1">
      <c r="A23" s="24"/>
      <c r="B23" s="51"/>
      <c r="C23" s="52"/>
      <c r="D23" s="32"/>
      <c r="E23" s="32"/>
      <c r="F23" s="24"/>
      <c r="G23" s="24"/>
      <c r="H23" s="24"/>
      <c r="I23" s="24"/>
      <c r="J23" s="24"/>
      <c r="K23" s="57" t="s">
        <v>53</v>
      </c>
      <c r="L23" s="59">
        <f t="shared" si="9"/>
        <v>0</v>
      </c>
      <c r="M23" s="60">
        <f t="shared" si="10"/>
        <v>0</v>
      </c>
      <c r="N23" s="47">
        <f t="shared" si="4"/>
        <v>0</v>
      </c>
      <c r="O23" s="47">
        <f>IF(H8&lt;18,0,($H$13)/12*(Y8)/10*$L$11)</f>
        <v>0</v>
      </c>
      <c r="P23" s="47">
        <f t="shared" si="12"/>
        <v>0</v>
      </c>
      <c r="Q23" s="47" t="str">
        <f t="shared" si="5"/>
        <v>0</v>
      </c>
      <c r="R23" s="48" t="str">
        <f t="shared" si="6"/>
        <v>0</v>
      </c>
      <c r="S23" s="47" t="str">
        <f t="shared" si="7"/>
        <v>0</v>
      </c>
      <c r="T23" s="47" t="str">
        <f t="shared" si="8"/>
        <v>0</v>
      </c>
      <c r="U23" s="37"/>
      <c r="V23" s="37"/>
      <c r="W23" s="37"/>
      <c r="X23" s="37"/>
      <c r="Y23" s="37"/>
      <c r="Z23" s="37"/>
      <c r="AA23" s="37"/>
      <c r="AB23" s="68" t="b">
        <v>0</v>
      </c>
      <c r="AC23" s="69"/>
      <c r="AD23" s="71" t="b">
        <v>0</v>
      </c>
      <c r="AK23" s="8"/>
      <c r="AL23" s="8"/>
      <c r="AM23" s="8"/>
    </row>
    <row r="24" spans="1:39" ht="23.25" hidden="1" customHeight="1">
      <c r="A24" s="32"/>
      <c r="B24" s="51"/>
      <c r="C24" s="52"/>
      <c r="D24" s="53"/>
      <c r="E24" s="53"/>
      <c r="F24" s="24"/>
      <c r="G24" s="24"/>
      <c r="H24" s="24"/>
      <c r="I24" s="24"/>
      <c r="J24" s="24"/>
      <c r="K24" s="57" t="s">
        <v>54</v>
      </c>
      <c r="L24" s="59">
        <f t="shared" si="9"/>
        <v>0</v>
      </c>
      <c r="M24" s="60">
        <f t="shared" si="10"/>
        <v>0</v>
      </c>
      <c r="N24" s="47">
        <f t="shared" si="4"/>
        <v>0</v>
      </c>
      <c r="O24" s="47">
        <f t="shared" si="11"/>
        <v>0</v>
      </c>
      <c r="P24" s="47">
        <f t="shared" si="12"/>
        <v>0</v>
      </c>
      <c r="Q24" s="47" t="str">
        <f t="shared" si="5"/>
        <v>0</v>
      </c>
      <c r="R24" s="48" t="str">
        <f t="shared" si="6"/>
        <v>0</v>
      </c>
      <c r="S24" s="47" t="str">
        <f t="shared" si="7"/>
        <v>0</v>
      </c>
      <c r="T24" s="47" t="str">
        <f t="shared" si="8"/>
        <v>0</v>
      </c>
      <c r="U24" s="37"/>
      <c r="V24" s="37"/>
      <c r="W24" s="37"/>
      <c r="X24" s="37"/>
      <c r="Y24" s="37"/>
      <c r="Z24" s="37"/>
      <c r="AA24" s="37"/>
      <c r="AB24" s="38"/>
      <c r="AC24" s="24"/>
      <c r="AD24" s="26"/>
      <c r="AK24" s="8"/>
      <c r="AL24" s="8"/>
      <c r="AM24" s="8"/>
    </row>
    <row r="25" spans="1:39" ht="23.25" hidden="1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57" t="s">
        <v>49</v>
      </c>
      <c r="L25" s="61">
        <f>COUNTIFS(M25:Z25,"&gt;=40",M25:Z25,"&lt;65")</f>
        <v>0</v>
      </c>
      <c r="M25" s="61" t="str">
        <f t="shared" ref="M25:M30" si="13">IF(M4=1,DATEDIF($G4,M$17,"Y"),IF(M4=3,DATEDIF($G4,M$17,"Y"),""))</f>
        <v/>
      </c>
      <c r="N25" s="40" t="str">
        <f t="shared" ref="N25" si="14">IF(N$4=1,DATEDIF($G4,N$17,"Y"),IF(N$4=3,DATEDIF($G4,N$17,"Y"),""))</f>
        <v/>
      </c>
      <c r="O25" s="40" t="str">
        <f t="shared" ref="O25:V25" si="15">IF(O$4=1,DATEDIF($G4,O$17,"Y"),IF(O$4=3,DATEDIF($G4,O$17,"Y"),""))</f>
        <v/>
      </c>
      <c r="P25" s="40" t="str">
        <f t="shared" si="15"/>
        <v/>
      </c>
      <c r="Q25" s="40" t="str">
        <f t="shared" si="15"/>
        <v/>
      </c>
      <c r="R25" s="40" t="str">
        <f t="shared" si="15"/>
        <v/>
      </c>
      <c r="S25" s="40" t="str">
        <f t="shared" si="15"/>
        <v/>
      </c>
      <c r="T25" s="40" t="str">
        <f t="shared" si="15"/>
        <v/>
      </c>
      <c r="U25" s="40" t="str">
        <f t="shared" si="15"/>
        <v/>
      </c>
      <c r="V25" s="40" t="str">
        <f t="shared" si="15"/>
        <v/>
      </c>
      <c r="W25" s="40" t="str">
        <f>IF(X$4=1,DATEDIF($G4,X$17,"Y"),IF(X$4=3,DATEDIF($G4,X$17,"Y"),""))</f>
        <v/>
      </c>
      <c r="Z25" s="40" t="str">
        <f t="shared" ref="Z25" si="16">IF(W$4=1,DATEDIF($G4,W$17,"Y"),IF(W$4=3,DATEDIF($G4,W$17,"Y"),""))</f>
        <v/>
      </c>
      <c r="AB25" s="29"/>
      <c r="AC25" s="24"/>
      <c r="AD25" s="26"/>
      <c r="AK25" s="8"/>
      <c r="AL25" s="8"/>
      <c r="AM25" s="8"/>
    </row>
    <row r="26" spans="1:39" ht="23.25" hidden="1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57" t="s">
        <v>50</v>
      </c>
      <c r="L26" s="61">
        <f>COUNTIFS(M26:Z26,"&gt;=40",M26:Z26,"&lt;65")</f>
        <v>0</v>
      </c>
      <c r="M26" s="61" t="str">
        <f t="shared" si="13"/>
        <v/>
      </c>
      <c r="N26" s="40" t="str">
        <f t="shared" ref="N26" si="17">IF(N5=1,DATEDIF($G5,N$17,"Y"),IF(N5=3,DATEDIF($G5,N$17,"Y"),""))</f>
        <v/>
      </c>
      <c r="O26" s="40" t="str">
        <f t="shared" ref="O26:V28" si="18">IF(O5=1,DATEDIF($G5,O$17,"Y"),IF(O5=3,DATEDIF($G5,O$17,"Y"),""))</f>
        <v/>
      </c>
      <c r="P26" s="40" t="str">
        <f t="shared" si="18"/>
        <v/>
      </c>
      <c r="Q26" s="40" t="str">
        <f t="shared" si="18"/>
        <v/>
      </c>
      <c r="R26" s="40" t="str">
        <f t="shared" si="18"/>
        <v/>
      </c>
      <c r="S26" s="40" t="str">
        <f t="shared" si="18"/>
        <v/>
      </c>
      <c r="T26" s="40" t="str">
        <f t="shared" si="18"/>
        <v/>
      </c>
      <c r="U26" s="40" t="str">
        <f t="shared" si="18"/>
        <v/>
      </c>
      <c r="V26" s="40" t="str">
        <f t="shared" si="18"/>
        <v/>
      </c>
      <c r="W26" s="40" t="str">
        <f>IF(X5=1,DATEDIF($G5,X$17,"Y"),IF(X5=3,DATEDIF($G5,X$17,"Y"),""))</f>
        <v/>
      </c>
      <c r="Z26" s="40" t="str">
        <f t="shared" ref="U26:AA30" si="19">IF(W5=1,DATEDIF($G5,W$17,"Y"),IF(W5=3,DATEDIF($G5,W$17,"Y"),""))</f>
        <v/>
      </c>
      <c r="AB26" s="29"/>
      <c r="AC26" s="24"/>
      <c r="AD26" s="26"/>
      <c r="AK26" s="8"/>
      <c r="AL26" s="8"/>
      <c r="AM26" s="8"/>
    </row>
    <row r="27" spans="1:39" ht="23.25" hidden="1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57" t="s">
        <v>51</v>
      </c>
      <c r="L27" s="61">
        <f>COUNTIFS(M27:Z27,"&gt;=40",M27:Z27,"&lt;65")</f>
        <v>0</v>
      </c>
      <c r="M27" s="61" t="str">
        <f t="shared" si="13"/>
        <v/>
      </c>
      <c r="N27" s="40" t="str">
        <f t="shared" ref="N27" si="20">IF(N6=1,DATEDIF($G6,N$17,"Y"),IF(N6=3,DATEDIF($G6,N$17,"Y"),""))</f>
        <v/>
      </c>
      <c r="O27" s="40" t="str">
        <f t="shared" si="18"/>
        <v/>
      </c>
      <c r="P27" s="40" t="str">
        <f t="shared" si="18"/>
        <v/>
      </c>
      <c r="Q27" s="40" t="str">
        <f t="shared" si="18"/>
        <v/>
      </c>
      <c r="R27" s="40" t="str">
        <f t="shared" si="18"/>
        <v/>
      </c>
      <c r="S27" s="40" t="str">
        <f t="shared" si="18"/>
        <v/>
      </c>
      <c r="T27" s="40" t="str">
        <f t="shared" si="18"/>
        <v/>
      </c>
      <c r="U27" s="40" t="str">
        <f t="shared" si="18"/>
        <v/>
      </c>
      <c r="V27" s="40" t="str">
        <f t="shared" si="18"/>
        <v/>
      </c>
      <c r="W27" s="40" t="str">
        <f>IF(X6=1,DATEDIF($G6,X$17,"Y"),IF(X6=3,DATEDIF($G6,X$17,"Y"),""))</f>
        <v/>
      </c>
      <c r="Z27" s="40" t="str">
        <f t="shared" si="19"/>
        <v/>
      </c>
      <c r="AB27" s="29"/>
      <c r="AC27" s="24"/>
      <c r="AD27" s="26"/>
      <c r="AK27" s="8"/>
      <c r="AL27" s="8"/>
      <c r="AM27" s="8"/>
    </row>
    <row r="28" spans="1:39" ht="23.25" hidden="1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57" t="s">
        <v>52</v>
      </c>
      <c r="L28" s="61">
        <f>COUNTIFS(M28:Z28,"&gt;=40",M28:Z28,"&lt;65")</f>
        <v>0</v>
      </c>
      <c r="M28" s="61" t="str">
        <f t="shared" si="13"/>
        <v/>
      </c>
      <c r="N28" s="40" t="str">
        <f t="shared" ref="N28" si="21">IF(N7=1,DATEDIF($G7,N$17,"Y"),IF(N7=3,DATEDIF($G7,N$17,"Y"),""))</f>
        <v/>
      </c>
      <c r="O28" s="40" t="str">
        <f t="shared" si="18"/>
        <v/>
      </c>
      <c r="P28" s="40" t="str">
        <f t="shared" si="18"/>
        <v/>
      </c>
      <c r="Q28" s="40" t="str">
        <f t="shared" si="18"/>
        <v/>
      </c>
      <c r="R28" s="40" t="str">
        <f t="shared" si="18"/>
        <v/>
      </c>
      <c r="S28" s="40" t="str">
        <f t="shared" si="18"/>
        <v/>
      </c>
      <c r="T28" s="40" t="str">
        <f t="shared" si="18"/>
        <v/>
      </c>
      <c r="U28" s="40" t="str">
        <f t="shared" si="18"/>
        <v/>
      </c>
      <c r="V28" s="40" t="str">
        <f t="shared" si="18"/>
        <v/>
      </c>
      <c r="W28" s="40" t="str">
        <f>IF(X7=1,DATEDIF($G7,X$17,"Y"),IF(X7=3,DATEDIF($G7,X$17,"Y"),""))</f>
        <v/>
      </c>
      <c r="Z28" s="40" t="str">
        <f t="shared" si="19"/>
        <v/>
      </c>
      <c r="AB28" s="29"/>
      <c r="AC28" s="24"/>
      <c r="AD28" s="26"/>
      <c r="AK28" s="8"/>
      <c r="AL28" s="8"/>
      <c r="AM28" s="8"/>
    </row>
    <row r="29" spans="1:39" ht="23.25" hidden="1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57" t="s">
        <v>53</v>
      </c>
      <c r="L29" s="61">
        <f t="shared" ref="L29:L30" si="22">COUNTIFS(M29:AA29,"&gt;=40",M29:AA29,"&lt;65")</f>
        <v>0</v>
      </c>
      <c r="M29" s="61" t="str">
        <f t="shared" si="13"/>
        <v/>
      </c>
      <c r="N29" s="40" t="str">
        <f t="shared" ref="N29" si="23">IF(N8=1,DATEDIF($G8,N$17,"Y"),IF(N8=3,DATEDIF($G8,N$17,"Y"),""))</f>
        <v/>
      </c>
      <c r="O29" s="40"/>
      <c r="P29" s="40"/>
      <c r="Q29" s="40" t="str">
        <f t="shared" ref="Q29:S30" si="24">IF(O8=1,DATEDIF($G8,O$17,"Y"),IF(O8=3,DATEDIF($G8,O$17,"Y"),""))</f>
        <v/>
      </c>
      <c r="R29" s="40" t="str">
        <f t="shared" si="24"/>
        <v/>
      </c>
      <c r="S29" s="40" t="str">
        <f t="shared" si="24"/>
        <v/>
      </c>
      <c r="T29" s="40"/>
      <c r="U29" s="40" t="str">
        <f t="shared" si="19"/>
        <v/>
      </c>
      <c r="V29" s="40" t="str">
        <f t="shared" si="19"/>
        <v/>
      </c>
      <c r="W29" s="40" t="str">
        <f t="shared" si="19"/>
        <v/>
      </c>
      <c r="X29" s="40" t="str">
        <f t="shared" si="19"/>
        <v/>
      </c>
      <c r="Y29" s="40" t="str">
        <f t="shared" si="19"/>
        <v/>
      </c>
      <c r="Z29" s="40" t="str">
        <f t="shared" si="19"/>
        <v/>
      </c>
      <c r="AA29" s="40" t="str">
        <f t="shared" si="19"/>
        <v/>
      </c>
      <c r="AB29" s="29"/>
      <c r="AC29" s="24"/>
      <c r="AD29" s="26"/>
      <c r="AK29" s="8"/>
      <c r="AL29" s="8"/>
      <c r="AM29" s="8"/>
    </row>
    <row r="30" spans="1:39" ht="23.25" hidden="1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57" t="s">
        <v>54</v>
      </c>
      <c r="L30" s="61">
        <f t="shared" si="22"/>
        <v>0</v>
      </c>
      <c r="M30" s="61" t="str">
        <f t="shared" si="13"/>
        <v/>
      </c>
      <c r="N30" s="40" t="str">
        <f t="shared" ref="N30" si="25">IF(N9=1,DATEDIF($G9,N$17,"Y"),IF(N9=3,DATEDIF($G9,N$17,"Y"),""))</f>
        <v/>
      </c>
      <c r="O30" s="40"/>
      <c r="P30" s="40"/>
      <c r="Q30" s="40" t="str">
        <f t="shared" si="24"/>
        <v/>
      </c>
      <c r="R30" s="40" t="str">
        <f t="shared" si="24"/>
        <v/>
      </c>
      <c r="S30" s="40" t="str">
        <f t="shared" si="24"/>
        <v/>
      </c>
      <c r="T30" s="40"/>
      <c r="U30" s="40" t="str">
        <f t="shared" si="19"/>
        <v/>
      </c>
      <c r="V30" s="40" t="str">
        <f t="shared" si="19"/>
        <v/>
      </c>
      <c r="W30" s="40" t="str">
        <f t="shared" si="19"/>
        <v/>
      </c>
      <c r="X30" s="40" t="str">
        <f t="shared" si="19"/>
        <v/>
      </c>
      <c r="Y30" s="40" t="str">
        <f t="shared" si="19"/>
        <v/>
      </c>
      <c r="Z30" s="40" t="str">
        <f t="shared" si="19"/>
        <v/>
      </c>
      <c r="AA30" s="40" t="str">
        <f t="shared" si="19"/>
        <v/>
      </c>
      <c r="AB30" s="29"/>
      <c r="AC30" s="24"/>
      <c r="AD30" s="26"/>
      <c r="AK30" s="8"/>
      <c r="AL30" s="8"/>
      <c r="AM30" s="8"/>
    </row>
    <row r="31" spans="1:39" ht="23.25" customHeight="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73"/>
      <c r="L31" s="82" t="s">
        <v>37</v>
      </c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4"/>
      <c r="Z31" s="24"/>
      <c r="AA31" s="26"/>
    </row>
    <row r="32" spans="1:39" ht="23.25" customHeight="1">
      <c r="A32" s="24"/>
      <c r="B32" s="15" t="s">
        <v>27</v>
      </c>
      <c r="C32" s="16" t="s">
        <v>31</v>
      </c>
      <c r="D32" s="15" t="s">
        <v>42</v>
      </c>
      <c r="E32" s="114" t="s">
        <v>32</v>
      </c>
      <c r="F32" s="115"/>
      <c r="G32" s="18" t="s">
        <v>29</v>
      </c>
      <c r="H32" s="97"/>
      <c r="I32" s="24"/>
      <c r="J32" s="24"/>
      <c r="K32" s="25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6"/>
    </row>
    <row r="33" spans="1:27" ht="23.25" customHeight="1">
      <c r="A33" s="24"/>
      <c r="B33" s="19" t="s">
        <v>0</v>
      </c>
      <c r="C33" s="6">
        <f>SUM(Q19:T24)</f>
        <v>0</v>
      </c>
      <c r="D33" s="16" t="s">
        <v>43</v>
      </c>
      <c r="E33" s="112">
        <f>IF(SUM(Q19:Q24,L19:L24,U19)&gt;D16,D16,(SUM(L19:L24,Q19:Q24,U19)))</f>
        <v>0</v>
      </c>
      <c r="F33" s="113"/>
      <c r="G33" s="14">
        <f>E33-ROUNDDOWN(E33,-2)</f>
        <v>0</v>
      </c>
      <c r="H33" s="98"/>
      <c r="I33" s="24"/>
      <c r="J33" s="24"/>
      <c r="K33" s="63"/>
      <c r="L33" s="62"/>
      <c r="M33" s="62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6"/>
    </row>
    <row r="34" spans="1:27" ht="23.25" customHeight="1">
      <c r="A34" s="24"/>
      <c r="B34" s="15" t="s">
        <v>2</v>
      </c>
      <c r="C34" s="6">
        <f>SUM(L19:P24)</f>
        <v>0</v>
      </c>
      <c r="D34" s="20" t="s">
        <v>44</v>
      </c>
      <c r="E34" s="112">
        <f>IF(SUM(M19:M24,R19:R24,V19)&gt;E16,E16,SUM(M19:M24,R19:R24,V19))</f>
        <v>0</v>
      </c>
      <c r="F34" s="113"/>
      <c r="G34" s="14">
        <f>E34-ROUNDDOWN(E34,-2)</f>
        <v>0</v>
      </c>
      <c r="H34" s="98"/>
      <c r="I34" s="24"/>
      <c r="J34" s="24"/>
      <c r="K34" s="25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6"/>
    </row>
    <row r="35" spans="1:27" ht="23.25" customHeight="1">
      <c r="A35" s="24"/>
      <c r="B35" s="15" t="s">
        <v>1</v>
      </c>
      <c r="C35" s="6">
        <f>SUM(U19:X19)</f>
        <v>0</v>
      </c>
      <c r="D35" s="20" t="s">
        <v>45</v>
      </c>
      <c r="E35" s="112">
        <f>IF(SUM(N19:N24,S19:S24,W19)&gt;G16,G16,SUM(N19:N24,S19:S24,W19))</f>
        <v>0</v>
      </c>
      <c r="F35" s="113"/>
      <c r="G35" s="14">
        <f>E35-ROUNDDOWN(E35,-2)</f>
        <v>0</v>
      </c>
      <c r="H35" s="98"/>
      <c r="I35" s="24"/>
      <c r="J35" s="24"/>
      <c r="K35" s="25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6"/>
    </row>
    <row r="36" spans="1:27" ht="23.25" customHeight="1">
      <c r="A36" s="24"/>
      <c r="B36" s="96"/>
      <c r="C36" s="6"/>
      <c r="D36" s="20" t="s">
        <v>84</v>
      </c>
      <c r="E36" s="112">
        <f>IF(SUM(T19:T24,O19:P24,X19)&gt;D16,D16,(SUM(O19:P24,T19:T24,X19)))</f>
        <v>0</v>
      </c>
      <c r="F36" s="113"/>
      <c r="G36" s="14">
        <f>E36-ROUNDDOWN(E36,-2)</f>
        <v>0</v>
      </c>
      <c r="H36" s="98"/>
      <c r="I36" s="24"/>
      <c r="J36" s="24"/>
      <c r="K36" s="25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6"/>
    </row>
    <row r="37" spans="1:27" ht="23.25" customHeight="1">
      <c r="A37" s="24"/>
      <c r="B37" s="15" t="s">
        <v>8</v>
      </c>
      <c r="C37" s="6">
        <f>SUM(C33:C35)</f>
        <v>0</v>
      </c>
      <c r="D37" s="20" t="s">
        <v>28</v>
      </c>
      <c r="E37" s="112">
        <f>SUM(E33:E36)</f>
        <v>0</v>
      </c>
      <c r="F37" s="113"/>
      <c r="G37" s="7">
        <f>E37-G33-G34-G35-G36</f>
        <v>0</v>
      </c>
      <c r="H37" s="99"/>
      <c r="I37" s="24"/>
      <c r="J37" s="15" t="s">
        <v>25</v>
      </c>
      <c r="K37" s="15" t="s">
        <v>26</v>
      </c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6"/>
    </row>
    <row r="38" spans="1:27" ht="23.25" customHeight="1">
      <c r="A38" s="24"/>
      <c r="B38" s="24"/>
      <c r="C38" s="24"/>
      <c r="D38" s="33"/>
      <c r="E38" s="33"/>
      <c r="F38" s="24"/>
      <c r="G38" s="24"/>
      <c r="H38" s="24"/>
      <c r="I38" s="24"/>
      <c r="J38" s="1">
        <v>1</v>
      </c>
      <c r="K38" s="85">
        <f>G37-SUM(K39:K45)</f>
        <v>0</v>
      </c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6"/>
    </row>
    <row r="39" spans="1:27" ht="23.25" customHeight="1">
      <c r="A39" s="24"/>
      <c r="B39" s="15" t="s">
        <v>23</v>
      </c>
      <c r="C39" s="16" t="s">
        <v>35</v>
      </c>
      <c r="D39" s="17" t="s">
        <v>36</v>
      </c>
      <c r="E39" s="114" t="s">
        <v>33</v>
      </c>
      <c r="F39" s="115"/>
      <c r="G39" s="16" t="s">
        <v>34</v>
      </c>
      <c r="H39" s="100"/>
      <c r="I39" s="24"/>
      <c r="J39" s="1">
        <v>2</v>
      </c>
      <c r="K39" s="85">
        <f>ROUND($G$37/8,-3)</f>
        <v>0</v>
      </c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6"/>
    </row>
    <row r="40" spans="1:27" ht="23.25" customHeight="1">
      <c r="A40" s="24"/>
      <c r="B40" s="1" t="str">
        <f t="shared" ref="B40:B45" si="26">IF(B4="","",B4)</f>
        <v/>
      </c>
      <c r="C40" s="6" t="str">
        <f t="shared" ref="C40:C45" si="27">IF(B40="","",SUM(Q19:T19))</f>
        <v/>
      </c>
      <c r="D40" s="14" t="str">
        <f>IF(B40="","",SUM(L19:P19))</f>
        <v/>
      </c>
      <c r="E40" s="116" t="str">
        <f t="shared" ref="E40:E45" si="28">IF(B40="","",(C40+D40)/SUM($C$33:$C$34)*$C$35)</f>
        <v/>
      </c>
      <c r="F40" s="117"/>
      <c r="G40" s="6" t="str">
        <f t="shared" ref="G40:G45" si="29">IF(B40="","",SUM(C40:E40)/C$37*G$37)</f>
        <v/>
      </c>
      <c r="H40" s="101"/>
      <c r="I40" s="24"/>
      <c r="J40" s="1">
        <v>3</v>
      </c>
      <c r="K40" s="85">
        <f t="shared" ref="K40:K44" si="30">ROUND($G$37/8,-3)</f>
        <v>0</v>
      </c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6"/>
    </row>
    <row r="41" spans="1:27" ht="23.25" customHeight="1">
      <c r="A41" s="24"/>
      <c r="B41" s="1" t="str">
        <f t="shared" si="26"/>
        <v/>
      </c>
      <c r="C41" s="6" t="str">
        <f t="shared" si="27"/>
        <v/>
      </c>
      <c r="D41" s="14" t="str">
        <f t="shared" ref="D41:D45" si="31">IF(B41="","",SUM(L20:P20))</f>
        <v/>
      </c>
      <c r="E41" s="116" t="str">
        <f t="shared" si="28"/>
        <v/>
      </c>
      <c r="F41" s="117"/>
      <c r="G41" s="6" t="str">
        <f t="shared" si="29"/>
        <v/>
      </c>
      <c r="H41" s="101"/>
      <c r="I41" s="24"/>
      <c r="J41" s="1">
        <v>4</v>
      </c>
      <c r="K41" s="85">
        <f t="shared" si="30"/>
        <v>0</v>
      </c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6"/>
    </row>
    <row r="42" spans="1:27" ht="23.25" customHeight="1">
      <c r="A42" s="24"/>
      <c r="B42" s="1" t="str">
        <f t="shared" si="26"/>
        <v/>
      </c>
      <c r="C42" s="6" t="str">
        <f t="shared" si="27"/>
        <v/>
      </c>
      <c r="D42" s="14" t="str">
        <f t="shared" si="31"/>
        <v/>
      </c>
      <c r="E42" s="116" t="str">
        <f t="shared" si="28"/>
        <v/>
      </c>
      <c r="F42" s="117"/>
      <c r="G42" s="6" t="str">
        <f t="shared" si="29"/>
        <v/>
      </c>
      <c r="H42" s="101"/>
      <c r="I42" s="24"/>
      <c r="J42" s="1">
        <v>5</v>
      </c>
      <c r="K42" s="85">
        <f t="shared" si="30"/>
        <v>0</v>
      </c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9"/>
    </row>
    <row r="43" spans="1:27" ht="23.25" customHeight="1">
      <c r="A43" s="24"/>
      <c r="B43" s="1" t="str">
        <f t="shared" si="26"/>
        <v/>
      </c>
      <c r="C43" s="6" t="str">
        <f t="shared" si="27"/>
        <v/>
      </c>
      <c r="D43" s="14" t="str">
        <f t="shared" si="31"/>
        <v/>
      </c>
      <c r="E43" s="116" t="str">
        <f t="shared" si="28"/>
        <v/>
      </c>
      <c r="F43" s="117"/>
      <c r="G43" s="6" t="str">
        <f t="shared" si="29"/>
        <v/>
      </c>
      <c r="H43" s="101"/>
      <c r="I43" s="24"/>
      <c r="J43" s="1">
        <v>6</v>
      </c>
      <c r="K43" s="85">
        <f t="shared" si="30"/>
        <v>0</v>
      </c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23.25" customHeight="1">
      <c r="A44" s="24"/>
      <c r="B44" s="1" t="str">
        <f t="shared" si="26"/>
        <v/>
      </c>
      <c r="C44" s="6" t="str">
        <f t="shared" si="27"/>
        <v/>
      </c>
      <c r="D44" s="14" t="str">
        <f t="shared" si="31"/>
        <v/>
      </c>
      <c r="E44" s="116" t="str">
        <f t="shared" si="28"/>
        <v/>
      </c>
      <c r="F44" s="117"/>
      <c r="G44" s="6" t="str">
        <f t="shared" si="29"/>
        <v/>
      </c>
      <c r="H44" s="101"/>
      <c r="I44" s="24"/>
      <c r="J44" s="1">
        <v>7</v>
      </c>
      <c r="K44" s="85">
        <f t="shared" si="30"/>
        <v>0</v>
      </c>
      <c r="L44" s="24"/>
      <c r="M44" s="55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3.25" customHeight="1">
      <c r="A45" s="24"/>
      <c r="B45" s="1" t="str">
        <f t="shared" si="26"/>
        <v/>
      </c>
      <c r="C45" s="6" t="str">
        <f t="shared" si="27"/>
        <v/>
      </c>
      <c r="D45" s="14" t="str">
        <f t="shared" si="31"/>
        <v/>
      </c>
      <c r="E45" s="116" t="str">
        <f t="shared" si="28"/>
        <v/>
      </c>
      <c r="F45" s="117"/>
      <c r="G45" s="6" t="str">
        <f t="shared" si="29"/>
        <v/>
      </c>
      <c r="H45" s="101"/>
      <c r="I45" s="24"/>
      <c r="J45" s="1">
        <v>8</v>
      </c>
      <c r="K45" s="85">
        <f>ROUND($G$37/8,-3)</f>
        <v>0</v>
      </c>
      <c r="L45" s="24"/>
      <c r="M45" s="56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23.25" customHeight="1">
      <c r="A46" s="24"/>
      <c r="B46" s="1" t="s">
        <v>28</v>
      </c>
      <c r="C46" s="6">
        <f>SUM(C40:C45)</f>
        <v>0</v>
      </c>
      <c r="D46" s="6">
        <f>SUM(D40:D45)</f>
        <v>0</v>
      </c>
      <c r="E46" s="112">
        <f>SUM(E40:E45)</f>
        <v>0</v>
      </c>
      <c r="F46" s="113"/>
      <c r="G46" s="7">
        <f>ROUNDDOWN(SUM(G40:G45),0)</f>
        <v>0</v>
      </c>
      <c r="H46" s="99"/>
      <c r="I46" s="24"/>
      <c r="J46" s="1" t="s">
        <v>22</v>
      </c>
      <c r="K46" s="84">
        <f>SUM(K38:K45)</f>
        <v>0</v>
      </c>
      <c r="L46" s="82" t="s">
        <v>72</v>
      </c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23.25" customHeight="1">
      <c r="A47" s="24"/>
      <c r="B47" s="24"/>
      <c r="C47" s="24"/>
      <c r="D47" s="24"/>
      <c r="E47" s="24"/>
      <c r="F47" s="24"/>
      <c r="G47" s="24"/>
      <c r="H47" s="24"/>
      <c r="I47" s="24"/>
      <c r="J47" s="81" t="s">
        <v>73</v>
      </c>
      <c r="K47" s="25"/>
      <c r="L47" s="72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</sheetData>
  <mergeCells count="32">
    <mergeCell ref="A1:AA1"/>
    <mergeCell ref="M13:N13"/>
    <mergeCell ref="O13:P13"/>
    <mergeCell ref="O12:P12"/>
    <mergeCell ref="Q11:R11"/>
    <mergeCell ref="O11:P11"/>
    <mergeCell ref="S11:T11"/>
    <mergeCell ref="E11:F11"/>
    <mergeCell ref="E12:F12"/>
    <mergeCell ref="E13:F13"/>
    <mergeCell ref="M11:N11"/>
    <mergeCell ref="M12:N12"/>
    <mergeCell ref="Q12:R12"/>
    <mergeCell ref="S12:T12"/>
    <mergeCell ref="S13:T13"/>
    <mergeCell ref="Q13:R13"/>
    <mergeCell ref="E15:F15"/>
    <mergeCell ref="E16:F16"/>
    <mergeCell ref="E46:F46"/>
    <mergeCell ref="E37:F37"/>
    <mergeCell ref="E32:F32"/>
    <mergeCell ref="E39:F39"/>
    <mergeCell ref="E40:F40"/>
    <mergeCell ref="E41:F41"/>
    <mergeCell ref="E33:F33"/>
    <mergeCell ref="E34:F34"/>
    <mergeCell ref="E35:F35"/>
    <mergeCell ref="E42:F42"/>
    <mergeCell ref="E43:F43"/>
    <mergeCell ref="E44:F44"/>
    <mergeCell ref="E45:F45"/>
    <mergeCell ref="E36:F36"/>
  </mergeCells>
  <phoneticPr fontId="2"/>
  <pageMargins left="0.51181102362204722" right="0.51181102362204722" top="0.74803149606299213" bottom="0.74803149606299213" header="0.31496062992125984" footer="0.31496062992125984"/>
  <pageSetup paperSize="9" scale="6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5</xdr:col>
                    <xdr:colOff>200025</xdr:colOff>
                    <xdr:row>3</xdr:row>
                    <xdr:rowOff>19050</xdr:rowOff>
                  </from>
                  <to>
                    <xdr:col>5</xdr:col>
                    <xdr:colOff>419100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5" name="Check Box 22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0</xdr:rowOff>
                  </from>
                  <to>
                    <xdr:col>5</xdr:col>
                    <xdr:colOff>428625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Check Box 23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0</xdr:rowOff>
                  </from>
                  <to>
                    <xdr:col>5</xdr:col>
                    <xdr:colOff>428625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0</xdr:rowOff>
                  </from>
                  <to>
                    <xdr:col>5</xdr:col>
                    <xdr:colOff>428625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0</xdr:rowOff>
                  </from>
                  <to>
                    <xdr:col>5</xdr:col>
                    <xdr:colOff>428625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0</xdr:rowOff>
                  </from>
                  <to>
                    <xdr:col>5</xdr:col>
                    <xdr:colOff>428625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" name="Check Box 2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3</xdr:row>
                    <xdr:rowOff>9525</xdr:rowOff>
                  </from>
                  <to>
                    <xdr:col>4</xdr:col>
                    <xdr:colOff>428625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Check Box 28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0</xdr:rowOff>
                  </from>
                  <to>
                    <xdr:col>4</xdr:col>
                    <xdr:colOff>428625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2" name="Check Box 2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0</xdr:rowOff>
                  </from>
                  <to>
                    <xdr:col>4</xdr:col>
                    <xdr:colOff>428625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3" name="Check Box 30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0</xdr:rowOff>
                  </from>
                  <to>
                    <xdr:col>4</xdr:col>
                    <xdr:colOff>428625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4" name="Check Box 3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0</xdr:rowOff>
                  </from>
                  <to>
                    <xdr:col>4</xdr:col>
                    <xdr:colOff>428625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5" name="Check Box 32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0</xdr:rowOff>
                  </from>
                  <to>
                    <xdr:col>4</xdr:col>
                    <xdr:colOff>428625</xdr:colOff>
                    <xdr:row>8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I45"/>
  <sheetViews>
    <sheetView showGridLines="0" zoomScaleNormal="100" workbookViewId="0">
      <selection activeCell="D7" sqref="D7"/>
    </sheetView>
  </sheetViews>
  <sheetFormatPr defaultColWidth="9" defaultRowHeight="18.75"/>
  <cols>
    <col min="1" max="1" width="4.25" style="2" customWidth="1"/>
    <col min="2" max="4" width="15.625" style="2" customWidth="1"/>
    <col min="5" max="6" width="8.125" style="2" customWidth="1"/>
    <col min="7" max="7" width="15.625" style="2" customWidth="1"/>
    <col min="8" max="8" width="7.125" style="2" customWidth="1"/>
    <col min="9" max="9" width="5.125" style="2" customWidth="1"/>
    <col min="10" max="10" width="12.75" style="3" customWidth="1"/>
    <col min="11" max="24" width="4.875" style="2" customWidth="1"/>
    <col min="25" max="25" width="1.25" style="2" customWidth="1"/>
    <col min="26" max="26" width="9" style="2"/>
    <col min="27" max="35" width="9" style="8"/>
    <col min="36" max="16384" width="9" style="2"/>
  </cols>
  <sheetData>
    <row r="1" spans="1:26" ht="23.25" customHeight="1">
      <c r="A1" s="118" t="s">
        <v>65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26" ht="23.25" customHeight="1">
      <c r="A2" s="30"/>
      <c r="B2" s="89" t="s">
        <v>21</v>
      </c>
      <c r="C2" s="24"/>
      <c r="D2" s="24"/>
      <c r="E2" s="24"/>
      <c r="F2" s="24"/>
      <c r="G2" s="24"/>
      <c r="H2" s="24"/>
      <c r="I2" s="24"/>
      <c r="J2" s="86" t="s">
        <v>75</v>
      </c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23.25" customHeight="1">
      <c r="A3" s="31"/>
      <c r="B3" s="21" t="s">
        <v>7</v>
      </c>
      <c r="C3" s="22" t="s">
        <v>6</v>
      </c>
      <c r="D3" s="22" t="s">
        <v>14</v>
      </c>
      <c r="E3" s="54" t="s">
        <v>18</v>
      </c>
      <c r="F3" s="54" t="s">
        <v>63</v>
      </c>
      <c r="G3" s="23" t="s">
        <v>47</v>
      </c>
      <c r="H3" s="23" t="s">
        <v>13</v>
      </c>
      <c r="I3" s="24"/>
      <c r="J3" s="87">
        <v>7</v>
      </c>
      <c r="K3" s="34" t="s">
        <v>46</v>
      </c>
      <c r="L3" s="35">
        <v>4</v>
      </c>
      <c r="M3" s="35">
        <v>5</v>
      </c>
      <c r="N3" s="35">
        <v>6</v>
      </c>
      <c r="O3" s="35">
        <v>7</v>
      </c>
      <c r="P3" s="35">
        <v>8</v>
      </c>
      <c r="Q3" s="35">
        <v>9</v>
      </c>
      <c r="R3" s="35">
        <v>10</v>
      </c>
      <c r="S3" s="35">
        <v>11</v>
      </c>
      <c r="T3" s="35">
        <v>12</v>
      </c>
      <c r="U3" s="35">
        <v>1</v>
      </c>
      <c r="V3" s="35">
        <v>2</v>
      </c>
      <c r="W3" s="35">
        <v>3</v>
      </c>
      <c r="X3" s="17" t="s">
        <v>12</v>
      </c>
      <c r="Y3" s="24"/>
      <c r="Z3" s="27" t="s">
        <v>15</v>
      </c>
    </row>
    <row r="4" spans="1:26" ht="23.25" customHeight="1">
      <c r="A4" s="31" t="s">
        <v>64</v>
      </c>
      <c r="B4" s="74" t="s">
        <v>69</v>
      </c>
      <c r="C4" s="90">
        <v>3000000</v>
      </c>
      <c r="D4" s="4">
        <f>IF(C4="","",IF(Z17=TRUE,IF((C4/100*30)-$C$12&lt;0,0,(C4/100*30)-$C$12),
IF(C4-$C$12&lt;0,0,C4-$C$12)))</f>
        <v>2570000</v>
      </c>
      <c r="E4" s="93"/>
      <c r="F4" s="83"/>
      <c r="G4" s="91">
        <v>31413</v>
      </c>
      <c r="H4" s="65">
        <f t="shared" ref="H4:H9" si="0">IFERROR(IF(G4="","",DATEDIF(G4,$K$16,"Y")),"-")</f>
        <v>39</v>
      </c>
      <c r="I4" s="24"/>
      <c r="J4" s="5" t="str">
        <f>IF(B4=0,"",B4)</f>
        <v>世帯主</v>
      </c>
      <c r="K4" s="92">
        <v>1</v>
      </c>
      <c r="L4" s="92">
        <v>1</v>
      </c>
      <c r="M4" s="92">
        <v>1</v>
      </c>
      <c r="N4" s="92">
        <v>1</v>
      </c>
      <c r="O4" s="92">
        <v>1</v>
      </c>
      <c r="P4" s="92">
        <v>1</v>
      </c>
      <c r="Q4" s="92">
        <v>1</v>
      </c>
      <c r="R4" s="92">
        <v>1</v>
      </c>
      <c r="S4" s="92">
        <v>1</v>
      </c>
      <c r="T4" s="92">
        <v>1</v>
      </c>
      <c r="U4" s="92">
        <v>1</v>
      </c>
      <c r="V4" s="92">
        <v>1</v>
      </c>
      <c r="W4" s="92">
        <v>1</v>
      </c>
      <c r="X4" s="9">
        <f>COUNTIF(L4:W4,1)+COUNTIF(L4:W4,3)</f>
        <v>12</v>
      </c>
      <c r="Y4" s="24"/>
      <c r="Z4" s="28" t="s">
        <v>16</v>
      </c>
    </row>
    <row r="5" spans="1:26" ht="23.25" customHeight="1">
      <c r="A5" s="31"/>
      <c r="B5" s="76" t="s">
        <v>70</v>
      </c>
      <c r="C5" s="90">
        <v>1500000</v>
      </c>
      <c r="D5" s="4">
        <f>IF(C5="","",IF(Z18=TRUE,IF((C5/100*30)-$C$12&lt;0,0,(C5/100*30)-$C$12),
IF(C5-$C$12&lt;0,0,C5-$C$12)))</f>
        <v>1070000</v>
      </c>
      <c r="E5" s="93"/>
      <c r="F5" s="83"/>
      <c r="G5" s="91">
        <v>31413</v>
      </c>
      <c r="H5" s="65">
        <f t="shared" si="0"/>
        <v>39</v>
      </c>
      <c r="I5" s="24"/>
      <c r="J5" s="5" t="str">
        <f>IF(B5=0,"",B5)</f>
        <v>妻</v>
      </c>
      <c r="K5" s="92">
        <v>3</v>
      </c>
      <c r="L5" s="92">
        <v>3</v>
      </c>
      <c r="M5" s="92">
        <v>3</v>
      </c>
      <c r="N5" s="92">
        <v>3</v>
      </c>
      <c r="O5" s="92">
        <v>3</v>
      </c>
      <c r="P5" s="92">
        <v>3</v>
      </c>
      <c r="Q5" s="92">
        <v>3</v>
      </c>
      <c r="R5" s="92">
        <v>3</v>
      </c>
      <c r="S5" s="92">
        <v>3</v>
      </c>
      <c r="T5" s="92">
        <v>3</v>
      </c>
      <c r="U5" s="92">
        <v>3</v>
      </c>
      <c r="V5" s="92">
        <v>3</v>
      </c>
      <c r="W5" s="92">
        <v>3</v>
      </c>
      <c r="X5" s="9">
        <f>COUNTIF(L5:W5,1)+COUNTIF(L5:W5,3)</f>
        <v>12</v>
      </c>
      <c r="Y5" s="24"/>
      <c r="Z5" s="28" t="s">
        <v>17</v>
      </c>
    </row>
    <row r="6" spans="1:26" ht="23.25" customHeight="1">
      <c r="A6" s="32"/>
      <c r="B6" s="76" t="s">
        <v>71</v>
      </c>
      <c r="C6" s="90">
        <v>0</v>
      </c>
      <c r="D6" s="4">
        <f>IF(C6="","",IF(Z19=TRUE,IF((C6/100*30)-$C$12&lt;0,0,(C6/100*30)-$C$12),
IF(C6-$C$12&lt;0,0,C6-$C$12)))</f>
        <v>0</v>
      </c>
      <c r="E6" s="93"/>
      <c r="F6" s="83"/>
      <c r="G6" s="91">
        <v>42370</v>
      </c>
      <c r="H6" s="65">
        <f t="shared" si="0"/>
        <v>9</v>
      </c>
      <c r="I6" s="24"/>
      <c r="J6" s="5" t="str">
        <f>IF(B6=0,"",B6)</f>
        <v>子</v>
      </c>
      <c r="K6" s="92">
        <v>3</v>
      </c>
      <c r="L6" s="92">
        <v>3</v>
      </c>
      <c r="M6" s="92">
        <v>3</v>
      </c>
      <c r="N6" s="92">
        <v>3</v>
      </c>
      <c r="O6" s="92">
        <v>3</v>
      </c>
      <c r="P6" s="92">
        <v>3</v>
      </c>
      <c r="Q6" s="92">
        <v>3</v>
      </c>
      <c r="R6" s="92">
        <v>3</v>
      </c>
      <c r="S6" s="92">
        <v>3</v>
      </c>
      <c r="T6" s="92">
        <v>3</v>
      </c>
      <c r="U6" s="92">
        <v>3</v>
      </c>
      <c r="V6" s="92">
        <v>3</v>
      </c>
      <c r="W6" s="92">
        <v>3</v>
      </c>
      <c r="X6" s="9">
        <f t="shared" ref="X6:X9" si="1">COUNTIF(L6:W6,1)+COUNTIF(L6:W6,3)</f>
        <v>12</v>
      </c>
      <c r="Y6" s="24"/>
      <c r="Z6" s="28"/>
    </row>
    <row r="7" spans="1:26" ht="23.25" customHeight="1">
      <c r="A7" s="32"/>
      <c r="B7" s="77" t="s">
        <v>71</v>
      </c>
      <c r="C7" s="90">
        <v>0</v>
      </c>
      <c r="D7" s="4">
        <f t="shared" ref="D7:D9" si="2">IF(C7="","",IF(Z20=TRUE,IF((C7/100*30)-$C$12&lt;0,0,(C7/100*30)-$C$12),
IF(C7-$C$12&lt;0,0,C7-$C$12)))</f>
        <v>0</v>
      </c>
      <c r="E7" s="93"/>
      <c r="F7" s="83"/>
      <c r="G7" s="91">
        <v>43831</v>
      </c>
      <c r="H7" s="65">
        <f t="shared" si="0"/>
        <v>5</v>
      </c>
      <c r="I7" s="24"/>
      <c r="J7" s="5" t="str">
        <f t="shared" ref="J7:J9" si="3">IF(B7=0,"",B7)</f>
        <v>子</v>
      </c>
      <c r="K7" s="92">
        <v>3</v>
      </c>
      <c r="L7" s="92">
        <v>3</v>
      </c>
      <c r="M7" s="92">
        <v>3</v>
      </c>
      <c r="N7" s="92">
        <v>3</v>
      </c>
      <c r="O7" s="92">
        <v>3</v>
      </c>
      <c r="P7" s="92">
        <v>3</v>
      </c>
      <c r="Q7" s="92">
        <v>3</v>
      </c>
      <c r="R7" s="92">
        <v>3</v>
      </c>
      <c r="S7" s="92">
        <v>3</v>
      </c>
      <c r="T7" s="92">
        <v>3</v>
      </c>
      <c r="U7" s="92">
        <v>3</v>
      </c>
      <c r="V7" s="92">
        <v>3</v>
      </c>
      <c r="W7" s="92">
        <v>3</v>
      </c>
      <c r="X7" s="9">
        <f t="shared" si="1"/>
        <v>12</v>
      </c>
      <c r="Y7" s="24"/>
      <c r="Z7" s="28"/>
    </row>
    <row r="8" spans="1:26" ht="23.25" customHeight="1">
      <c r="A8" s="32"/>
      <c r="B8" s="77"/>
      <c r="C8" s="75"/>
      <c r="D8" s="4" t="str">
        <f t="shared" si="2"/>
        <v/>
      </c>
      <c r="E8" s="93"/>
      <c r="F8" s="83"/>
      <c r="G8" s="79"/>
      <c r="H8" s="65" t="str">
        <f t="shared" si="0"/>
        <v/>
      </c>
      <c r="I8" s="24"/>
      <c r="J8" s="5" t="str">
        <f t="shared" si="3"/>
        <v/>
      </c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>
        <f t="shared" si="1"/>
        <v>0</v>
      </c>
      <c r="Y8" s="24"/>
      <c r="Z8" s="24"/>
    </row>
    <row r="9" spans="1:26" ht="23.25" customHeight="1">
      <c r="A9" s="32"/>
      <c r="B9" s="77"/>
      <c r="C9" s="75"/>
      <c r="D9" s="4" t="str">
        <f t="shared" si="2"/>
        <v/>
      </c>
      <c r="E9" s="93"/>
      <c r="F9" s="83"/>
      <c r="G9" s="79"/>
      <c r="H9" s="65" t="str">
        <f t="shared" si="0"/>
        <v/>
      </c>
      <c r="I9" s="24"/>
      <c r="J9" s="5" t="str">
        <f t="shared" si="3"/>
        <v/>
      </c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>
        <f t="shared" si="1"/>
        <v>0</v>
      </c>
      <c r="Y9" s="24"/>
      <c r="Z9" s="24"/>
    </row>
    <row r="10" spans="1:26" ht="23.25" customHeight="1">
      <c r="A10" s="32"/>
      <c r="B10" s="32" t="s">
        <v>74</v>
      </c>
      <c r="C10" s="32"/>
      <c r="D10" s="32"/>
      <c r="E10" s="32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23.25" customHeight="1">
      <c r="A11" s="32"/>
      <c r="B11" s="88"/>
      <c r="C11" s="16" t="s">
        <v>38</v>
      </c>
      <c r="D11" s="88" t="s">
        <v>39</v>
      </c>
      <c r="E11" s="114" t="s">
        <v>40</v>
      </c>
      <c r="F11" s="115"/>
      <c r="G11" s="18" t="s">
        <v>41</v>
      </c>
      <c r="H11" s="24"/>
      <c r="I11" s="24"/>
      <c r="J11" s="88" t="s">
        <v>30</v>
      </c>
      <c r="K11" s="12">
        <f>IF(R11&lt;=N11,3,IF(AND(N11&lt;R11,R11&lt;=N12),5,IF(AND(N12&lt;R11,R11&lt;=N13),8,10)))</f>
        <v>10</v>
      </c>
      <c r="L11" s="123" t="s">
        <v>11</v>
      </c>
      <c r="M11" s="124"/>
      <c r="N11" s="121">
        <f>'入力例（入力箇所は赤字で表示）'!$C$12+100000*(K12-1)</f>
        <v>530000</v>
      </c>
      <c r="O11" s="122"/>
      <c r="P11" s="123" t="s">
        <v>19</v>
      </c>
      <c r="Q11" s="124"/>
      <c r="R11" s="121">
        <f>SUMIFS($C4:$C9,K4:K9,"&gt;=1")</f>
        <v>4500000</v>
      </c>
      <c r="S11" s="122"/>
      <c r="T11" s="24"/>
      <c r="U11" s="24"/>
      <c r="V11" s="24"/>
      <c r="W11" s="24"/>
      <c r="X11" s="24"/>
      <c r="Y11" s="24"/>
      <c r="Z11" s="24"/>
    </row>
    <row r="12" spans="1:26" ht="23.25" customHeight="1">
      <c r="A12" s="32"/>
      <c r="B12" s="88" t="s">
        <v>0</v>
      </c>
      <c r="C12" s="10">
        <v>430000</v>
      </c>
      <c r="D12" s="11">
        <v>0.06</v>
      </c>
      <c r="E12" s="125">
        <v>2.7E-2</v>
      </c>
      <c r="F12" s="126"/>
      <c r="G12" s="11">
        <v>2.3E-2</v>
      </c>
      <c r="H12" s="24"/>
      <c r="I12" s="24"/>
      <c r="J12" s="88" t="s">
        <v>18</v>
      </c>
      <c r="K12" s="12">
        <f>IF(COUNTIF(X17:X22,"TRUE")=0,1,COUNTIF(X17:X22,"TRUE"))</f>
        <v>2</v>
      </c>
      <c r="L12" s="123" t="s">
        <v>9</v>
      </c>
      <c r="M12" s="124"/>
      <c r="N12" s="121">
        <f>'入力例（入力箇所は赤字で表示）'!$C$12+(305000*(K13)+100000*(K12-1))</f>
        <v>1750000</v>
      </c>
      <c r="O12" s="122"/>
      <c r="P12" s="123" t="s">
        <v>68</v>
      </c>
      <c r="Q12" s="124"/>
      <c r="R12" s="121">
        <f>IF(H4&lt;6,SUM(K18,L18),0)+IF(H5&lt;6,SUM(K19,L19),0)+IF(H6&lt;6,SUM(K20,L20),0)+IF(H7&lt;6,SUM(K21,L21),0)+IF(H8&lt;6,SUM(K22,L22),0)+IF(H9&lt;6,SUM(K23,L23),0)</f>
        <v>16500</v>
      </c>
      <c r="S12" s="122"/>
      <c r="T12" s="45"/>
      <c r="U12" s="45"/>
      <c r="V12" s="45"/>
      <c r="W12" s="45"/>
      <c r="X12" s="29"/>
      <c r="Y12" s="24"/>
      <c r="Z12" s="24"/>
    </row>
    <row r="13" spans="1:26" ht="23.25" customHeight="1">
      <c r="A13" s="32"/>
      <c r="B13" s="19" t="s">
        <v>2</v>
      </c>
      <c r="C13" s="64" t="s">
        <v>4</v>
      </c>
      <c r="D13" s="10">
        <v>23000</v>
      </c>
      <c r="E13" s="110">
        <v>10000</v>
      </c>
      <c r="F13" s="111"/>
      <c r="G13" s="10">
        <v>10500</v>
      </c>
      <c r="H13" s="24"/>
      <c r="I13" s="24"/>
      <c r="J13" s="88" t="s">
        <v>20</v>
      </c>
      <c r="K13" s="12">
        <f>(COUNTIF(K4:K9,"3")+COUNTIF(K4:K9,"1")+COUNTIF(K4:K9,"32")+COUNTIF(K4:K9,"33"))</f>
        <v>4</v>
      </c>
      <c r="L13" s="119" t="s">
        <v>10</v>
      </c>
      <c r="M13" s="119"/>
      <c r="N13" s="120">
        <f>'入力例（入力箇所は赤字で表示）'!$C$12+(560000*(K13)+100000*(K12-1))</f>
        <v>2770000</v>
      </c>
      <c r="O13" s="120"/>
      <c r="P13" s="46"/>
      <c r="Q13" s="46"/>
      <c r="R13" s="46"/>
      <c r="S13" s="46"/>
      <c r="T13" s="46"/>
      <c r="U13" s="46"/>
      <c r="V13" s="46"/>
      <c r="W13" s="46"/>
      <c r="X13" s="29"/>
      <c r="Y13" s="24"/>
      <c r="Z13" s="24"/>
    </row>
    <row r="14" spans="1:26" ht="23.25" customHeight="1">
      <c r="A14" s="32"/>
      <c r="B14" s="88" t="s">
        <v>1</v>
      </c>
      <c r="C14" s="64" t="s">
        <v>5</v>
      </c>
      <c r="D14" s="10">
        <v>18500</v>
      </c>
      <c r="E14" s="110">
        <v>8000</v>
      </c>
      <c r="F14" s="111"/>
      <c r="G14" s="10">
        <v>6000</v>
      </c>
      <c r="H14" s="24"/>
      <c r="I14" s="24"/>
      <c r="J14" s="25"/>
      <c r="K14" s="24"/>
      <c r="L14" s="24"/>
      <c r="M14" s="24"/>
      <c r="N14" s="24"/>
      <c r="O14" s="24"/>
      <c r="P14" s="24"/>
      <c r="Q14" s="24"/>
      <c r="R14" s="24"/>
      <c r="S14" s="24"/>
      <c r="T14" s="46"/>
      <c r="U14" s="46"/>
      <c r="V14" s="46"/>
      <c r="W14" s="46"/>
      <c r="X14" s="29"/>
      <c r="Y14" s="24"/>
      <c r="Z14" s="24"/>
    </row>
    <row r="15" spans="1:26" ht="23.25" customHeight="1">
      <c r="A15" s="24"/>
      <c r="B15" s="88" t="s">
        <v>3</v>
      </c>
      <c r="C15" s="13"/>
      <c r="D15" s="10">
        <v>650000</v>
      </c>
      <c r="E15" s="110">
        <v>240000</v>
      </c>
      <c r="F15" s="111"/>
      <c r="G15" s="10">
        <v>170000</v>
      </c>
      <c r="H15" s="24"/>
      <c r="I15" s="24"/>
      <c r="J15" s="25"/>
      <c r="K15" s="24"/>
      <c r="L15" s="24"/>
      <c r="M15" s="24"/>
      <c r="N15" s="24"/>
      <c r="O15" s="24"/>
      <c r="P15" s="24"/>
      <c r="Q15" s="24"/>
      <c r="R15" s="24"/>
      <c r="S15" s="24"/>
      <c r="T15" s="46"/>
      <c r="U15" s="46"/>
      <c r="V15" s="46"/>
      <c r="W15" s="46"/>
      <c r="X15" s="29"/>
      <c r="Y15" s="24"/>
      <c r="Z15" s="24"/>
    </row>
    <row r="16" spans="1:26" ht="23.25" customHeight="1">
      <c r="A16" s="24"/>
      <c r="B16" s="49"/>
      <c r="C16" s="30"/>
      <c r="D16" s="50"/>
      <c r="E16" s="50"/>
      <c r="F16" s="50"/>
      <c r="G16" s="50"/>
      <c r="H16" s="24"/>
      <c r="I16" s="24"/>
      <c r="J16" s="25"/>
      <c r="K16" s="36">
        <f>DATE(2018+$J$3,L3,1)</f>
        <v>45748</v>
      </c>
      <c r="L16" s="36">
        <f>DATE(2018+$J$3,L3,30)</f>
        <v>45777</v>
      </c>
      <c r="M16" s="36">
        <f>DATE(2018+$J$3,M3,31)</f>
        <v>45808</v>
      </c>
      <c r="N16" s="36">
        <f>DATE(2018+$J$3,N3,30)</f>
        <v>45838</v>
      </c>
      <c r="O16" s="36">
        <f>DATE(2018+$J$3,O3,31)</f>
        <v>45869</v>
      </c>
      <c r="P16" s="36">
        <f>DATE(2018+$J$3,P3,31)</f>
        <v>45900</v>
      </c>
      <c r="Q16" s="36">
        <f>DATE(2018+$J$3,Q3,30)</f>
        <v>45930</v>
      </c>
      <c r="R16" s="36">
        <f>DATE(2018+$J$3,R3,31)</f>
        <v>45961</v>
      </c>
      <c r="S16" s="36">
        <f>DATE(2018+$J$3,S3,30)</f>
        <v>45991</v>
      </c>
      <c r="T16" s="36">
        <f>DATE(2018+$J$3,T3,31)</f>
        <v>46022</v>
      </c>
      <c r="U16" s="36">
        <f>DATE(2019+$J$3,U3,31)</f>
        <v>46053</v>
      </c>
      <c r="V16" s="36">
        <f>DATE(2019+$J$3,V3,28)</f>
        <v>46081</v>
      </c>
      <c r="W16" s="36">
        <f>DATE(2019+$J$3,W3,31)</f>
        <v>46112</v>
      </c>
      <c r="X16" s="66" t="s">
        <v>18</v>
      </c>
      <c r="Y16" s="24"/>
      <c r="Z16" s="67" t="s">
        <v>67</v>
      </c>
    </row>
    <row r="17" spans="1:26" ht="23.25" hidden="1" customHeight="1">
      <c r="A17" s="24"/>
      <c r="B17" s="49"/>
      <c r="C17" s="30"/>
      <c r="D17" s="50"/>
      <c r="E17" s="50"/>
      <c r="F17" s="50"/>
      <c r="G17" s="50"/>
      <c r="H17" s="24"/>
      <c r="I17" s="24"/>
      <c r="J17" s="57"/>
      <c r="K17" s="57" t="s">
        <v>48</v>
      </c>
      <c r="L17" s="58" t="s">
        <v>55</v>
      </c>
      <c r="M17" s="42" t="s">
        <v>56</v>
      </c>
      <c r="N17" s="41" t="s">
        <v>57</v>
      </c>
      <c r="O17" s="44" t="s">
        <v>58</v>
      </c>
      <c r="P17" s="42" t="s">
        <v>59</v>
      </c>
      <c r="Q17" s="41" t="s">
        <v>60</v>
      </c>
      <c r="R17" s="44" t="s">
        <v>61</v>
      </c>
      <c r="S17" s="42" t="s">
        <v>62</v>
      </c>
      <c r="T17" s="12"/>
      <c r="U17" s="12"/>
      <c r="V17" s="12"/>
      <c r="W17" s="12"/>
      <c r="X17" s="68" t="b">
        <v>1</v>
      </c>
      <c r="Y17" s="69"/>
      <c r="Z17" s="70" t="b">
        <v>0</v>
      </c>
    </row>
    <row r="18" spans="1:26" ht="23.25" hidden="1" customHeight="1">
      <c r="A18" s="24"/>
      <c r="B18" s="51"/>
      <c r="C18" s="52"/>
      <c r="D18" s="32"/>
      <c r="E18" s="32"/>
      <c r="F18" s="24"/>
      <c r="G18" s="24"/>
      <c r="H18" s="24"/>
      <c r="I18" s="24"/>
      <c r="J18" s="57" t="s">
        <v>49</v>
      </c>
      <c r="K18" s="59">
        <f t="shared" ref="K18:K23" si="4">IF(H4&lt;6,(($D$13)/12*(X4)/10*$K$11)/2,($D$13)/12*(X4)/10*$K$11)</f>
        <v>23000</v>
      </c>
      <c r="L18" s="60">
        <f t="shared" ref="L18:L23" si="5">IF(H4&lt;6,(($E$13)/12*(X4)/10*$K$11)/2,($E$13)/12*(X4)/10*$K$11)</f>
        <v>10000</v>
      </c>
      <c r="M18" s="47">
        <f t="shared" ref="M18:M23" si="6">$G$13/12*K24/10*$K$11</f>
        <v>2625</v>
      </c>
      <c r="N18" s="47">
        <f t="shared" ref="N18:N23" si="7">IFERROR(D4*$D$12/12*$X4,"0")</f>
        <v>154200</v>
      </c>
      <c r="O18" s="48">
        <f t="shared" ref="O18:O23" si="8">IFERROR(D4*$E$12/12*X4,"0")</f>
        <v>69390</v>
      </c>
      <c r="P18" s="47">
        <f t="shared" ref="P18:P23" si="9">IFERROR($G$12*D4/12*K24,"0")</f>
        <v>14777.5</v>
      </c>
      <c r="Q18" s="39">
        <f>MAX(X4:X9)*D14/12/10*K11</f>
        <v>18500</v>
      </c>
      <c r="R18" s="39">
        <f>MAX(X4:X9)*E14/12/10*K11</f>
        <v>8000</v>
      </c>
      <c r="S18" s="39">
        <f>G14*MAX(K24:K29)/12/10*K11</f>
        <v>1500</v>
      </c>
      <c r="T18" s="43"/>
      <c r="U18" s="43"/>
      <c r="V18" s="43"/>
      <c r="W18" s="43"/>
      <c r="X18" s="68" t="b">
        <v>1</v>
      </c>
      <c r="Y18" s="69"/>
      <c r="Z18" s="71" t="b">
        <v>0</v>
      </c>
    </row>
    <row r="19" spans="1:26" ht="23.25" hidden="1" customHeight="1">
      <c r="A19" s="24"/>
      <c r="B19" s="51"/>
      <c r="C19" s="52"/>
      <c r="D19" s="32"/>
      <c r="E19" s="32"/>
      <c r="F19" s="24"/>
      <c r="G19" s="24"/>
      <c r="H19" s="24"/>
      <c r="I19" s="24"/>
      <c r="J19" s="57" t="s">
        <v>50</v>
      </c>
      <c r="K19" s="59">
        <f t="shared" si="4"/>
        <v>23000</v>
      </c>
      <c r="L19" s="60">
        <f t="shared" si="5"/>
        <v>10000</v>
      </c>
      <c r="M19" s="47">
        <f t="shared" si="6"/>
        <v>2625</v>
      </c>
      <c r="N19" s="47">
        <f t="shared" si="7"/>
        <v>64200</v>
      </c>
      <c r="O19" s="48">
        <f t="shared" si="8"/>
        <v>28890</v>
      </c>
      <c r="P19" s="47">
        <f t="shared" si="9"/>
        <v>6152.5</v>
      </c>
      <c r="Q19" s="37"/>
      <c r="R19" s="37"/>
      <c r="S19" s="37"/>
      <c r="T19" s="37"/>
      <c r="U19" s="37"/>
      <c r="V19" s="37"/>
      <c r="W19" s="37"/>
      <c r="X19" s="68" t="b">
        <v>0</v>
      </c>
      <c r="Y19" s="69"/>
      <c r="Z19" s="71" t="b">
        <v>0</v>
      </c>
    </row>
    <row r="20" spans="1:26" ht="23.25" hidden="1" customHeight="1">
      <c r="A20" s="24"/>
      <c r="B20" s="51"/>
      <c r="C20" s="52"/>
      <c r="D20" s="32"/>
      <c r="E20" s="32"/>
      <c r="F20" s="24"/>
      <c r="G20" s="24"/>
      <c r="H20" s="24"/>
      <c r="I20" s="24"/>
      <c r="J20" s="57" t="s">
        <v>51</v>
      </c>
      <c r="K20" s="59">
        <f t="shared" si="4"/>
        <v>23000</v>
      </c>
      <c r="L20" s="60">
        <f t="shared" si="5"/>
        <v>10000</v>
      </c>
      <c r="M20" s="47">
        <f t="shared" si="6"/>
        <v>0</v>
      </c>
      <c r="N20" s="47">
        <f t="shared" si="7"/>
        <v>0</v>
      </c>
      <c r="O20" s="48">
        <f t="shared" si="8"/>
        <v>0</v>
      </c>
      <c r="P20" s="47">
        <f t="shared" si="9"/>
        <v>0</v>
      </c>
      <c r="Q20" s="37"/>
      <c r="R20" s="37"/>
      <c r="S20" s="37"/>
      <c r="T20" s="37"/>
      <c r="U20" s="37"/>
      <c r="V20" s="37"/>
      <c r="W20" s="37"/>
      <c r="X20" s="68" t="b">
        <v>0</v>
      </c>
      <c r="Y20" s="69"/>
      <c r="Z20" s="71" t="b">
        <v>0</v>
      </c>
    </row>
    <row r="21" spans="1:26" ht="23.25" hidden="1" customHeight="1">
      <c r="A21" s="24"/>
      <c r="B21" s="51"/>
      <c r="C21" s="52"/>
      <c r="D21" s="32"/>
      <c r="E21" s="32"/>
      <c r="F21" s="24"/>
      <c r="G21" s="24"/>
      <c r="H21" s="24"/>
      <c r="I21" s="24"/>
      <c r="J21" s="57" t="s">
        <v>52</v>
      </c>
      <c r="K21" s="59">
        <f t="shared" si="4"/>
        <v>11500</v>
      </c>
      <c r="L21" s="60">
        <f t="shared" si="5"/>
        <v>5000</v>
      </c>
      <c r="M21" s="47">
        <f t="shared" si="6"/>
        <v>0</v>
      </c>
      <c r="N21" s="47">
        <f t="shared" si="7"/>
        <v>0</v>
      </c>
      <c r="O21" s="48">
        <f t="shared" si="8"/>
        <v>0</v>
      </c>
      <c r="P21" s="47">
        <f t="shared" si="9"/>
        <v>0</v>
      </c>
      <c r="Q21" s="37"/>
      <c r="R21" s="37"/>
      <c r="S21" s="37"/>
      <c r="T21" s="37"/>
      <c r="U21" s="37"/>
      <c r="V21" s="37"/>
      <c r="W21" s="37"/>
      <c r="X21" s="68" t="b">
        <v>0</v>
      </c>
      <c r="Y21" s="69"/>
      <c r="Z21" s="71" t="b">
        <v>0</v>
      </c>
    </row>
    <row r="22" spans="1:26" ht="23.25" hidden="1" customHeight="1">
      <c r="A22" s="24"/>
      <c r="B22" s="51"/>
      <c r="C22" s="52"/>
      <c r="D22" s="32"/>
      <c r="E22" s="32"/>
      <c r="F22" s="24"/>
      <c r="G22" s="24"/>
      <c r="H22" s="24"/>
      <c r="I22" s="24"/>
      <c r="J22" s="57" t="s">
        <v>53</v>
      </c>
      <c r="K22" s="59">
        <f t="shared" si="4"/>
        <v>0</v>
      </c>
      <c r="L22" s="60">
        <f t="shared" si="5"/>
        <v>0</v>
      </c>
      <c r="M22" s="47">
        <f t="shared" si="6"/>
        <v>0</v>
      </c>
      <c r="N22" s="47" t="str">
        <f t="shared" si="7"/>
        <v>0</v>
      </c>
      <c r="O22" s="48" t="str">
        <f t="shared" si="8"/>
        <v>0</v>
      </c>
      <c r="P22" s="47" t="str">
        <f t="shared" si="9"/>
        <v>0</v>
      </c>
      <c r="Q22" s="37"/>
      <c r="R22" s="37"/>
      <c r="S22" s="37"/>
      <c r="T22" s="37"/>
      <c r="U22" s="37"/>
      <c r="V22" s="37"/>
      <c r="W22" s="37"/>
      <c r="X22" s="68" t="b">
        <v>0</v>
      </c>
      <c r="Y22" s="69"/>
      <c r="Z22" s="71" t="b">
        <v>0</v>
      </c>
    </row>
    <row r="23" spans="1:26" ht="23.25" hidden="1" customHeight="1">
      <c r="A23" s="32"/>
      <c r="B23" s="51"/>
      <c r="C23" s="52"/>
      <c r="D23" s="53"/>
      <c r="E23" s="53"/>
      <c r="F23" s="24"/>
      <c r="G23" s="24"/>
      <c r="H23" s="24"/>
      <c r="I23" s="24"/>
      <c r="J23" s="57" t="s">
        <v>54</v>
      </c>
      <c r="K23" s="59">
        <f t="shared" si="4"/>
        <v>0</v>
      </c>
      <c r="L23" s="60">
        <f t="shared" si="5"/>
        <v>0</v>
      </c>
      <c r="M23" s="47">
        <f t="shared" si="6"/>
        <v>0</v>
      </c>
      <c r="N23" s="47" t="str">
        <f t="shared" si="7"/>
        <v>0</v>
      </c>
      <c r="O23" s="48" t="str">
        <f t="shared" si="8"/>
        <v>0</v>
      </c>
      <c r="P23" s="47" t="str">
        <f t="shared" si="9"/>
        <v>0</v>
      </c>
      <c r="Q23" s="37"/>
      <c r="R23" s="37"/>
      <c r="S23" s="37"/>
      <c r="T23" s="37"/>
      <c r="U23" s="37"/>
      <c r="V23" s="37"/>
      <c r="W23" s="37"/>
      <c r="X23" s="38"/>
      <c r="Y23" s="24"/>
      <c r="Z23" s="26"/>
    </row>
    <row r="24" spans="1:26" ht="23.25" hidden="1" customHeight="1">
      <c r="A24" s="24"/>
      <c r="B24" s="24"/>
      <c r="C24" s="24"/>
      <c r="D24" s="24"/>
      <c r="E24" s="24"/>
      <c r="F24" s="24"/>
      <c r="G24" s="24"/>
      <c r="H24" s="24"/>
      <c r="I24" s="24"/>
      <c r="J24" s="57" t="s">
        <v>49</v>
      </c>
      <c r="K24" s="61">
        <f>COUNTIFS(L24:W24,"&gt;=40",L24:W24,"&lt;65")</f>
        <v>3</v>
      </c>
      <c r="L24" s="61">
        <f t="shared" ref="L24:W29" si="10">IF(L4=1,DATEDIF($G4,L$16,"Y"),IF(L4=3,DATEDIF($G4,L$16,"Y"),""))</f>
        <v>39</v>
      </c>
      <c r="M24" s="40">
        <f t="shared" ref="M24:W24" si="11">IF(M$4=1,DATEDIF($G4,M$16,"Y"),IF(M$4=3,DATEDIF($G4,M$16,"Y"),""))</f>
        <v>39</v>
      </c>
      <c r="N24" s="40">
        <f t="shared" si="11"/>
        <v>39</v>
      </c>
      <c r="O24" s="40">
        <f t="shared" si="11"/>
        <v>39</v>
      </c>
      <c r="P24" s="40">
        <f t="shared" si="11"/>
        <v>39</v>
      </c>
      <c r="Q24" s="40">
        <f t="shared" si="11"/>
        <v>39</v>
      </c>
      <c r="R24" s="40">
        <f t="shared" si="11"/>
        <v>39</v>
      </c>
      <c r="S24" s="40">
        <f t="shared" si="11"/>
        <v>39</v>
      </c>
      <c r="T24" s="40">
        <f t="shared" si="11"/>
        <v>39</v>
      </c>
      <c r="U24" s="40">
        <f t="shared" si="11"/>
        <v>40</v>
      </c>
      <c r="V24" s="40">
        <f t="shared" si="11"/>
        <v>40</v>
      </c>
      <c r="W24" s="40">
        <f t="shared" si="11"/>
        <v>40</v>
      </c>
      <c r="X24" s="29"/>
      <c r="Y24" s="24"/>
      <c r="Z24" s="26"/>
    </row>
    <row r="25" spans="1:26" ht="23.25" hidden="1" customHeight="1">
      <c r="A25" s="24"/>
      <c r="B25" s="24"/>
      <c r="C25" s="24"/>
      <c r="D25" s="24"/>
      <c r="E25" s="24"/>
      <c r="F25" s="24"/>
      <c r="G25" s="24"/>
      <c r="H25" s="24"/>
      <c r="I25" s="24"/>
      <c r="J25" s="57" t="s">
        <v>50</v>
      </c>
      <c r="K25" s="61">
        <f t="shared" ref="K25:K29" si="12">COUNTIFS(L25:W25,"&gt;=40",L25:W25,"&lt;65")</f>
        <v>3</v>
      </c>
      <c r="L25" s="61">
        <f t="shared" si="10"/>
        <v>39</v>
      </c>
      <c r="M25" s="40">
        <f t="shared" si="10"/>
        <v>39</v>
      </c>
      <c r="N25" s="40">
        <f t="shared" si="10"/>
        <v>39</v>
      </c>
      <c r="O25" s="40">
        <f t="shared" si="10"/>
        <v>39</v>
      </c>
      <c r="P25" s="40">
        <f t="shared" si="10"/>
        <v>39</v>
      </c>
      <c r="Q25" s="40">
        <f t="shared" si="10"/>
        <v>39</v>
      </c>
      <c r="R25" s="40">
        <f t="shared" si="10"/>
        <v>39</v>
      </c>
      <c r="S25" s="40">
        <f t="shared" si="10"/>
        <v>39</v>
      </c>
      <c r="T25" s="40">
        <f t="shared" si="10"/>
        <v>39</v>
      </c>
      <c r="U25" s="40">
        <f t="shared" si="10"/>
        <v>40</v>
      </c>
      <c r="V25" s="40">
        <f t="shared" si="10"/>
        <v>40</v>
      </c>
      <c r="W25" s="40">
        <f t="shared" si="10"/>
        <v>40</v>
      </c>
      <c r="X25" s="29"/>
      <c r="Y25" s="24"/>
      <c r="Z25" s="26"/>
    </row>
    <row r="26" spans="1:26" ht="23.25" hidden="1" customHeight="1">
      <c r="A26" s="24"/>
      <c r="B26" s="24"/>
      <c r="C26" s="24"/>
      <c r="D26" s="24"/>
      <c r="E26" s="24"/>
      <c r="F26" s="24"/>
      <c r="G26" s="24"/>
      <c r="H26" s="24"/>
      <c r="I26" s="24"/>
      <c r="J26" s="57" t="s">
        <v>51</v>
      </c>
      <c r="K26" s="61">
        <f t="shared" si="12"/>
        <v>0</v>
      </c>
      <c r="L26" s="61">
        <f t="shared" si="10"/>
        <v>9</v>
      </c>
      <c r="M26" s="40">
        <f t="shared" si="10"/>
        <v>9</v>
      </c>
      <c r="N26" s="40">
        <f t="shared" si="10"/>
        <v>9</v>
      </c>
      <c r="O26" s="40">
        <f t="shared" si="10"/>
        <v>9</v>
      </c>
      <c r="P26" s="40">
        <f t="shared" si="10"/>
        <v>9</v>
      </c>
      <c r="Q26" s="40">
        <f t="shared" si="10"/>
        <v>9</v>
      </c>
      <c r="R26" s="40">
        <f t="shared" si="10"/>
        <v>9</v>
      </c>
      <c r="S26" s="40">
        <f t="shared" si="10"/>
        <v>9</v>
      </c>
      <c r="T26" s="40">
        <f t="shared" si="10"/>
        <v>9</v>
      </c>
      <c r="U26" s="40">
        <f t="shared" si="10"/>
        <v>10</v>
      </c>
      <c r="V26" s="40">
        <f t="shared" si="10"/>
        <v>10</v>
      </c>
      <c r="W26" s="40">
        <f t="shared" si="10"/>
        <v>10</v>
      </c>
      <c r="X26" s="29"/>
      <c r="Y26" s="24"/>
      <c r="Z26" s="26"/>
    </row>
    <row r="27" spans="1:26" ht="23.25" hidden="1" customHeight="1">
      <c r="A27" s="24"/>
      <c r="B27" s="24"/>
      <c r="C27" s="24"/>
      <c r="D27" s="24"/>
      <c r="E27" s="24"/>
      <c r="F27" s="24"/>
      <c r="G27" s="24"/>
      <c r="H27" s="24"/>
      <c r="I27" s="24"/>
      <c r="J27" s="57" t="s">
        <v>52</v>
      </c>
      <c r="K27" s="61">
        <f t="shared" si="12"/>
        <v>0</v>
      </c>
      <c r="L27" s="61">
        <f t="shared" si="10"/>
        <v>5</v>
      </c>
      <c r="M27" s="40">
        <f t="shared" si="10"/>
        <v>5</v>
      </c>
      <c r="N27" s="40">
        <f t="shared" si="10"/>
        <v>5</v>
      </c>
      <c r="O27" s="40">
        <f t="shared" si="10"/>
        <v>5</v>
      </c>
      <c r="P27" s="40">
        <f t="shared" si="10"/>
        <v>5</v>
      </c>
      <c r="Q27" s="40">
        <f t="shared" si="10"/>
        <v>5</v>
      </c>
      <c r="R27" s="40">
        <f>IF(R7=1,DATEDIF($G7,R$16,"Y"),IF(R7=3,DATEDIF($G7,R$16,"Y"),""))</f>
        <v>5</v>
      </c>
      <c r="S27" s="40">
        <f t="shared" si="10"/>
        <v>5</v>
      </c>
      <c r="T27" s="40">
        <f t="shared" si="10"/>
        <v>5</v>
      </c>
      <c r="U27" s="40">
        <f t="shared" si="10"/>
        <v>6</v>
      </c>
      <c r="V27" s="40">
        <f t="shared" si="10"/>
        <v>6</v>
      </c>
      <c r="W27" s="40">
        <f t="shared" si="10"/>
        <v>6</v>
      </c>
      <c r="X27" s="29"/>
      <c r="Y27" s="24"/>
      <c r="Z27" s="26"/>
    </row>
    <row r="28" spans="1:26" ht="23.25" hidden="1" customHeight="1">
      <c r="A28" s="24"/>
      <c r="B28" s="24"/>
      <c r="C28" s="24"/>
      <c r="D28" s="24"/>
      <c r="E28" s="24"/>
      <c r="F28" s="24"/>
      <c r="G28" s="24"/>
      <c r="H28" s="24"/>
      <c r="I28" s="24"/>
      <c r="J28" s="57" t="s">
        <v>53</v>
      </c>
      <c r="K28" s="61">
        <f t="shared" si="12"/>
        <v>0</v>
      </c>
      <c r="L28" s="61" t="str">
        <f t="shared" si="10"/>
        <v/>
      </c>
      <c r="M28" s="40" t="str">
        <f t="shared" si="10"/>
        <v/>
      </c>
      <c r="N28" s="40" t="str">
        <f t="shared" si="10"/>
        <v/>
      </c>
      <c r="O28" s="40" t="str">
        <f t="shared" si="10"/>
        <v/>
      </c>
      <c r="P28" s="40" t="str">
        <f t="shared" si="10"/>
        <v/>
      </c>
      <c r="Q28" s="40" t="str">
        <f t="shared" si="10"/>
        <v/>
      </c>
      <c r="R28" s="40" t="str">
        <f t="shared" si="10"/>
        <v/>
      </c>
      <c r="S28" s="40" t="str">
        <f t="shared" si="10"/>
        <v/>
      </c>
      <c r="T28" s="40" t="str">
        <f t="shared" si="10"/>
        <v/>
      </c>
      <c r="U28" s="40" t="str">
        <f t="shared" si="10"/>
        <v/>
      </c>
      <c r="V28" s="40" t="str">
        <f t="shared" si="10"/>
        <v/>
      </c>
      <c r="W28" s="40" t="str">
        <f t="shared" si="10"/>
        <v/>
      </c>
      <c r="X28" s="29"/>
      <c r="Y28" s="24"/>
      <c r="Z28" s="26"/>
    </row>
    <row r="29" spans="1:26" ht="23.25" hidden="1" customHeight="1">
      <c r="A29" s="24"/>
      <c r="B29" s="24"/>
      <c r="C29" s="24"/>
      <c r="D29" s="24"/>
      <c r="E29" s="24"/>
      <c r="F29" s="24"/>
      <c r="G29" s="24"/>
      <c r="H29" s="24"/>
      <c r="I29" s="24"/>
      <c r="J29" s="57" t="s">
        <v>54</v>
      </c>
      <c r="K29" s="61">
        <f t="shared" si="12"/>
        <v>0</v>
      </c>
      <c r="L29" s="61" t="str">
        <f t="shared" si="10"/>
        <v/>
      </c>
      <c r="M29" s="40" t="str">
        <f t="shared" si="10"/>
        <v/>
      </c>
      <c r="N29" s="40" t="str">
        <f t="shared" si="10"/>
        <v/>
      </c>
      <c r="O29" s="40" t="str">
        <f t="shared" si="10"/>
        <v/>
      </c>
      <c r="P29" s="40" t="str">
        <f t="shared" si="10"/>
        <v/>
      </c>
      <c r="Q29" s="40" t="str">
        <f t="shared" si="10"/>
        <v/>
      </c>
      <c r="R29" s="40" t="str">
        <f t="shared" si="10"/>
        <v/>
      </c>
      <c r="S29" s="40" t="str">
        <f t="shared" si="10"/>
        <v/>
      </c>
      <c r="T29" s="40" t="str">
        <f t="shared" si="10"/>
        <v/>
      </c>
      <c r="U29" s="40" t="str">
        <f t="shared" si="10"/>
        <v/>
      </c>
      <c r="V29" s="40" t="str">
        <f t="shared" si="10"/>
        <v/>
      </c>
      <c r="W29" s="40" t="str">
        <f t="shared" si="10"/>
        <v/>
      </c>
      <c r="X29" s="29"/>
      <c r="Y29" s="24"/>
      <c r="Z29" s="26"/>
    </row>
    <row r="30" spans="1:26" ht="23.25" customHeight="1">
      <c r="A30" s="24"/>
      <c r="B30" s="24"/>
      <c r="C30" s="24"/>
      <c r="D30" s="24"/>
      <c r="E30" s="24"/>
      <c r="F30" s="24"/>
      <c r="G30" s="24"/>
      <c r="H30" s="24"/>
      <c r="I30" s="24"/>
      <c r="J30" s="73"/>
      <c r="K30" s="82" t="s">
        <v>37</v>
      </c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4"/>
      <c r="Y30" s="24"/>
      <c r="Z30" s="26"/>
    </row>
    <row r="31" spans="1:26" ht="23.25" customHeight="1">
      <c r="A31" s="24"/>
      <c r="B31" s="88" t="s">
        <v>27</v>
      </c>
      <c r="C31" s="16" t="s">
        <v>31</v>
      </c>
      <c r="D31" s="88" t="s">
        <v>42</v>
      </c>
      <c r="E31" s="114" t="s">
        <v>32</v>
      </c>
      <c r="F31" s="115"/>
      <c r="G31" s="18" t="s">
        <v>29</v>
      </c>
      <c r="H31" s="24"/>
      <c r="I31" s="24"/>
      <c r="J31" s="25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6"/>
    </row>
    <row r="32" spans="1:26" ht="23.25" customHeight="1">
      <c r="A32" s="24"/>
      <c r="B32" s="19" t="s">
        <v>0</v>
      </c>
      <c r="C32" s="6">
        <f>SUM(N18:P23)</f>
        <v>337610</v>
      </c>
      <c r="D32" s="16" t="s">
        <v>43</v>
      </c>
      <c r="E32" s="112">
        <f>IF(SUM(N18:N23,K18:K23,Q18)&gt;D15,D15,(SUM(K18:K23,N18:N23,Q18)))</f>
        <v>317400</v>
      </c>
      <c r="F32" s="113"/>
      <c r="G32" s="14">
        <f>E32-ROUNDDOWN(E32,-2)</f>
        <v>0</v>
      </c>
      <c r="H32" s="24"/>
      <c r="I32" s="24"/>
      <c r="J32" s="63"/>
      <c r="K32" s="62"/>
      <c r="L32" s="62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6"/>
    </row>
    <row r="33" spans="1:26" ht="23.25" customHeight="1">
      <c r="A33" s="24"/>
      <c r="B33" s="88" t="s">
        <v>2</v>
      </c>
      <c r="C33" s="6">
        <f>SUM(K18:M23)</f>
        <v>120750</v>
      </c>
      <c r="D33" s="20" t="s">
        <v>44</v>
      </c>
      <c r="E33" s="112">
        <f>IF(SUM(L18:L23,O18:O23,R18)&gt;E15,E15,SUM(L18:L23,O18:O23,R18))</f>
        <v>141280</v>
      </c>
      <c r="F33" s="113"/>
      <c r="G33" s="14">
        <f>E33-ROUNDDOWN(E33,-2)</f>
        <v>80</v>
      </c>
      <c r="H33" s="24"/>
      <c r="I33" s="24"/>
      <c r="J33" s="25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6"/>
    </row>
    <row r="34" spans="1:26" ht="23.25" customHeight="1">
      <c r="A34" s="24"/>
      <c r="B34" s="88" t="s">
        <v>1</v>
      </c>
      <c r="C34" s="6">
        <f>SUM(Q18:S18)</f>
        <v>28000</v>
      </c>
      <c r="D34" s="20" t="s">
        <v>45</v>
      </c>
      <c r="E34" s="112">
        <f>IF(SUM(M18:M23,P18:P23,S18)&gt;G15,G15,SUM(M18:M23,P18:P23,S18))</f>
        <v>27680</v>
      </c>
      <c r="F34" s="113"/>
      <c r="G34" s="14">
        <f>E34-ROUNDDOWN(E34,-2)</f>
        <v>80</v>
      </c>
      <c r="H34" s="24"/>
      <c r="I34" s="24"/>
      <c r="J34" s="25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6"/>
    </row>
    <row r="35" spans="1:26" ht="23.25" customHeight="1">
      <c r="A35" s="24"/>
      <c r="B35" s="88" t="s">
        <v>8</v>
      </c>
      <c r="C35" s="6">
        <f>SUM(C32:C34)</f>
        <v>486360</v>
      </c>
      <c r="D35" s="20" t="s">
        <v>12</v>
      </c>
      <c r="E35" s="112">
        <f>SUM(E32:E34)</f>
        <v>486360</v>
      </c>
      <c r="F35" s="113"/>
      <c r="G35" s="7">
        <f>E35-G32-G33-G34</f>
        <v>486200</v>
      </c>
      <c r="H35" s="24"/>
      <c r="I35" s="88" t="s">
        <v>25</v>
      </c>
      <c r="J35" s="88" t="s">
        <v>26</v>
      </c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6"/>
    </row>
    <row r="36" spans="1:26" ht="23.25" customHeight="1">
      <c r="A36" s="24"/>
      <c r="B36" s="24"/>
      <c r="C36" s="24"/>
      <c r="D36" s="33"/>
      <c r="E36" s="33"/>
      <c r="F36" s="24"/>
      <c r="G36" s="24"/>
      <c r="H36" s="24"/>
      <c r="I36" s="1">
        <v>1</v>
      </c>
      <c r="J36" s="85">
        <f>G35-SUM(J37:J43)</f>
        <v>59200</v>
      </c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6"/>
    </row>
    <row r="37" spans="1:26" ht="23.25" customHeight="1">
      <c r="A37" s="24"/>
      <c r="B37" s="88" t="s">
        <v>23</v>
      </c>
      <c r="C37" s="16" t="s">
        <v>35</v>
      </c>
      <c r="D37" s="17" t="s">
        <v>36</v>
      </c>
      <c r="E37" s="114" t="s">
        <v>33</v>
      </c>
      <c r="F37" s="115"/>
      <c r="G37" s="16" t="s">
        <v>34</v>
      </c>
      <c r="H37" s="24"/>
      <c r="I37" s="1">
        <v>2</v>
      </c>
      <c r="J37" s="85">
        <f>ROUND($G$35/8,-3)</f>
        <v>61000</v>
      </c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6"/>
    </row>
    <row r="38" spans="1:26" ht="23.25" customHeight="1">
      <c r="A38" s="24"/>
      <c r="B38" s="1" t="str">
        <f t="shared" ref="B38:B43" si="13">IF(B4="","",B4)</f>
        <v>世帯主</v>
      </c>
      <c r="C38" s="6">
        <f t="shared" ref="C38:C43" si="14">IF(B38="","",SUM(N18:P18))</f>
        <v>238367.5</v>
      </c>
      <c r="D38" s="14">
        <f t="shared" ref="D38:D43" si="15">IF(B38="","",SUM(K18:M18))</f>
        <v>35625</v>
      </c>
      <c r="E38" s="116">
        <f t="shared" ref="E38:E43" si="16">IF(B38="","",(C38+D38)/SUM($C$32:$C$33)*$C$34)</f>
        <v>16737.477092241905</v>
      </c>
      <c r="F38" s="117"/>
      <c r="G38" s="6">
        <f t="shared" ref="G38:G43" si="17">IF(B38="","",SUM(C38:E38)/C$35*G$35)</f>
        <v>290634.33436600055</v>
      </c>
      <c r="H38" s="24"/>
      <c r="I38" s="1">
        <v>3</v>
      </c>
      <c r="J38" s="85">
        <f t="shared" ref="J38:J42" si="18">ROUND($G$35/8,-3)</f>
        <v>61000</v>
      </c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6"/>
    </row>
    <row r="39" spans="1:26" ht="23.25" customHeight="1">
      <c r="A39" s="24"/>
      <c r="B39" s="1" t="str">
        <f t="shared" si="13"/>
        <v>妻</v>
      </c>
      <c r="C39" s="6">
        <f t="shared" si="14"/>
        <v>99242.5</v>
      </c>
      <c r="D39" s="14">
        <f t="shared" si="15"/>
        <v>35625</v>
      </c>
      <c r="E39" s="116">
        <f t="shared" si="16"/>
        <v>8238.6988393402571</v>
      </c>
      <c r="F39" s="117"/>
      <c r="G39" s="6">
        <f t="shared" si="17"/>
        <v>143059.12056025828</v>
      </c>
      <c r="H39" s="24"/>
      <c r="I39" s="1">
        <v>4</v>
      </c>
      <c r="J39" s="85">
        <f t="shared" si="18"/>
        <v>61000</v>
      </c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6"/>
    </row>
    <row r="40" spans="1:26" ht="23.25" customHeight="1">
      <c r="A40" s="24"/>
      <c r="B40" s="1" t="str">
        <f t="shared" si="13"/>
        <v>子</v>
      </c>
      <c r="C40" s="6">
        <f t="shared" si="14"/>
        <v>0</v>
      </c>
      <c r="D40" s="14">
        <f t="shared" si="15"/>
        <v>33000</v>
      </c>
      <c r="E40" s="116">
        <f t="shared" si="16"/>
        <v>2015.8827122785583</v>
      </c>
      <c r="F40" s="117"/>
      <c r="G40" s="6">
        <f t="shared" si="17"/>
        <v>35004.363382494106</v>
      </c>
      <c r="H40" s="24"/>
      <c r="I40" s="1">
        <v>5</v>
      </c>
      <c r="J40" s="85">
        <f t="shared" si="18"/>
        <v>61000</v>
      </c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9"/>
    </row>
    <row r="41" spans="1:26" ht="23.25" customHeight="1">
      <c r="A41" s="24"/>
      <c r="B41" s="1" t="str">
        <f t="shared" si="13"/>
        <v>子</v>
      </c>
      <c r="C41" s="6">
        <f t="shared" si="14"/>
        <v>0</v>
      </c>
      <c r="D41" s="14">
        <f>IF(B41="","",SUM(K21:M21))</f>
        <v>16500</v>
      </c>
      <c r="E41" s="116">
        <f t="shared" si="16"/>
        <v>1007.9413561392792</v>
      </c>
      <c r="F41" s="117"/>
      <c r="G41" s="6">
        <f t="shared" si="17"/>
        <v>17502.181691247053</v>
      </c>
      <c r="H41" s="24"/>
      <c r="I41" s="1">
        <v>6</v>
      </c>
      <c r="J41" s="85">
        <f t="shared" si="18"/>
        <v>61000</v>
      </c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23.25" customHeight="1">
      <c r="A42" s="24"/>
      <c r="B42" s="1" t="str">
        <f t="shared" si="13"/>
        <v/>
      </c>
      <c r="C42" s="6" t="str">
        <f t="shared" si="14"/>
        <v/>
      </c>
      <c r="D42" s="14" t="str">
        <f t="shared" si="15"/>
        <v/>
      </c>
      <c r="E42" s="116" t="str">
        <f t="shared" si="16"/>
        <v/>
      </c>
      <c r="F42" s="117"/>
      <c r="G42" s="6" t="str">
        <f t="shared" si="17"/>
        <v/>
      </c>
      <c r="H42" s="24"/>
      <c r="I42" s="1">
        <v>7</v>
      </c>
      <c r="J42" s="85">
        <f t="shared" si="18"/>
        <v>61000</v>
      </c>
      <c r="K42" s="24"/>
      <c r="L42" s="55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23.25" customHeight="1">
      <c r="A43" s="24"/>
      <c r="B43" s="1" t="str">
        <f t="shared" si="13"/>
        <v/>
      </c>
      <c r="C43" s="6" t="str">
        <f t="shared" si="14"/>
        <v/>
      </c>
      <c r="D43" s="14" t="str">
        <f t="shared" si="15"/>
        <v/>
      </c>
      <c r="E43" s="116" t="str">
        <f t="shared" si="16"/>
        <v/>
      </c>
      <c r="F43" s="117"/>
      <c r="G43" s="6" t="str">
        <f t="shared" si="17"/>
        <v/>
      </c>
      <c r="H43" s="24"/>
      <c r="I43" s="1">
        <v>8</v>
      </c>
      <c r="J43" s="85">
        <f>ROUND($G$35/8,-3)</f>
        <v>61000</v>
      </c>
      <c r="K43" s="24"/>
      <c r="L43" s="56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23.25" customHeight="1">
      <c r="A44" s="24"/>
      <c r="B44" s="1" t="s">
        <v>12</v>
      </c>
      <c r="C44" s="6">
        <f>SUM(C38:C43)</f>
        <v>337610</v>
      </c>
      <c r="D44" s="6">
        <f>SUM(D38:D43)</f>
        <v>120750</v>
      </c>
      <c r="E44" s="112">
        <f>SUM(E38:E43)</f>
        <v>28000</v>
      </c>
      <c r="F44" s="113"/>
      <c r="G44" s="7">
        <f>ROUNDDOWN(SUM(G38:G43),0)</f>
        <v>486200</v>
      </c>
      <c r="H44" s="24"/>
      <c r="I44" s="1" t="s">
        <v>12</v>
      </c>
      <c r="J44" s="84">
        <f>SUM(J36:J43)</f>
        <v>486200</v>
      </c>
      <c r="K44" s="82" t="s">
        <v>72</v>
      </c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23.25" customHeight="1">
      <c r="A45" s="24"/>
      <c r="B45" s="24"/>
      <c r="C45" s="24"/>
      <c r="D45" s="24"/>
      <c r="E45" s="24"/>
      <c r="F45" s="24"/>
      <c r="G45" s="24"/>
      <c r="H45" s="24"/>
      <c r="I45" s="81" t="s">
        <v>73</v>
      </c>
      <c r="J45" s="25"/>
      <c r="K45" s="72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</sheetData>
  <mergeCells count="29">
    <mergeCell ref="R12:S12"/>
    <mergeCell ref="E13:F13"/>
    <mergeCell ref="L13:M13"/>
    <mergeCell ref="N13:O13"/>
    <mergeCell ref="A1:Z1"/>
    <mergeCell ref="E11:F11"/>
    <mergeCell ref="L11:M11"/>
    <mergeCell ref="N11:O11"/>
    <mergeCell ref="P11:Q11"/>
    <mergeCell ref="R11:S11"/>
    <mergeCell ref="E34:F34"/>
    <mergeCell ref="E12:F12"/>
    <mergeCell ref="L12:M12"/>
    <mergeCell ref="N12:O12"/>
    <mergeCell ref="P12:Q12"/>
    <mergeCell ref="E14:F14"/>
    <mergeCell ref="E15:F15"/>
    <mergeCell ref="E31:F31"/>
    <mergeCell ref="E32:F32"/>
    <mergeCell ref="E33:F33"/>
    <mergeCell ref="E42:F42"/>
    <mergeCell ref="E43:F43"/>
    <mergeCell ref="E44:F44"/>
    <mergeCell ref="E35:F35"/>
    <mergeCell ref="E37:F37"/>
    <mergeCell ref="E38:F38"/>
    <mergeCell ref="E39:F39"/>
    <mergeCell ref="E40:F40"/>
    <mergeCell ref="E41:F41"/>
  </mergeCells>
  <phoneticPr fontId="2"/>
  <pageMargins left="0.51181102362204722" right="0.51181102362204722" top="0.74803149606299213" bottom="0.74803149606299213" header="0.31496062992125984" footer="0.31496062992125984"/>
  <pageSetup paperSize="9" scale="6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5</xdr:col>
                    <xdr:colOff>200025</xdr:colOff>
                    <xdr:row>3</xdr:row>
                    <xdr:rowOff>19050</xdr:rowOff>
                  </from>
                  <to>
                    <xdr:col>5</xdr:col>
                    <xdr:colOff>419100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0</xdr:rowOff>
                  </from>
                  <to>
                    <xdr:col>5</xdr:col>
                    <xdr:colOff>428625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0</xdr:rowOff>
                  </from>
                  <to>
                    <xdr:col>5</xdr:col>
                    <xdr:colOff>428625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0</xdr:rowOff>
                  </from>
                  <to>
                    <xdr:col>5</xdr:col>
                    <xdr:colOff>428625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0</xdr:rowOff>
                  </from>
                  <to>
                    <xdr:col>5</xdr:col>
                    <xdr:colOff>428625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0</xdr:rowOff>
                  </from>
                  <to>
                    <xdr:col>5</xdr:col>
                    <xdr:colOff>428625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3</xdr:row>
                    <xdr:rowOff>9525</xdr:rowOff>
                  </from>
                  <to>
                    <xdr:col>4</xdr:col>
                    <xdr:colOff>428625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0</xdr:rowOff>
                  </from>
                  <to>
                    <xdr:col>4</xdr:col>
                    <xdr:colOff>428625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0</xdr:rowOff>
                  </from>
                  <to>
                    <xdr:col>4</xdr:col>
                    <xdr:colOff>428625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0</xdr:rowOff>
                  </from>
                  <to>
                    <xdr:col>4</xdr:col>
                    <xdr:colOff>428625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0</xdr:rowOff>
                  </from>
                  <to>
                    <xdr:col>4</xdr:col>
                    <xdr:colOff>428625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0</xdr:rowOff>
                  </from>
                  <to>
                    <xdr:col>4</xdr:col>
                    <xdr:colOff>428625</xdr:colOff>
                    <xdr:row>8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国民健康保険税　試算シート</vt:lpstr>
      <vt:lpstr>入力例（入力箇所は赤字で表示）</vt:lpstr>
      <vt:lpstr>'国民健康保険税　試算シート'!Print_Area</vt:lpstr>
      <vt:lpstr>'入力例（入力箇所は赤字で表示）'!Print_Area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U0562</dc:creator>
  <cp:lastModifiedBy>鈴木　紫音</cp:lastModifiedBy>
  <cp:lastPrinted>2023-01-24T07:22:35Z</cp:lastPrinted>
  <dcterms:created xsi:type="dcterms:W3CDTF">2022-02-08T01:06:40Z</dcterms:created>
  <dcterms:modified xsi:type="dcterms:W3CDTF">2026-05-11T05:16:55Z</dcterms:modified>
</cp:coreProperties>
</file>