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●共有\保険税係\【ホームページ関係】\"/>
    </mc:Choice>
  </mc:AlternateContent>
  <xr:revisionPtr revIDLastSave="0" documentId="13_ncr:1_{EC2A5459-108B-46F3-89A3-4E3ABD7CCD8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国民健康保険税　試算シート" sheetId="3" r:id="rId1"/>
    <sheet name="入力例（入力箇所は赤字で表示）" sheetId="4" r:id="rId2"/>
  </sheets>
  <definedNames>
    <definedName name="_xlnm.Print_Area" localSheetId="0">'国民健康保険税　試算シート'!$A$1:$Z$45</definedName>
    <definedName name="_xlnm.Print_Area" localSheetId="1">'入力例（入力箇所は赤字で表示）'!$A$1:$Z$45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4" l="1"/>
  <c r="N12" i="4"/>
  <c r="J4" i="4"/>
  <c r="J5" i="4"/>
  <c r="B43" i="4" l="1"/>
  <c r="D43" i="4" s="1"/>
  <c r="B42" i="4"/>
  <c r="G42" i="4" s="1"/>
  <c r="B41" i="4"/>
  <c r="B40" i="4"/>
  <c r="B39" i="4"/>
  <c r="B38" i="4"/>
  <c r="W29" i="4"/>
  <c r="V29" i="4"/>
  <c r="U29" i="4"/>
  <c r="T29" i="4"/>
  <c r="S29" i="4"/>
  <c r="R29" i="4"/>
  <c r="Q29" i="4"/>
  <c r="P29" i="4"/>
  <c r="O29" i="4"/>
  <c r="N29" i="4"/>
  <c r="M29" i="4"/>
  <c r="L29" i="4"/>
  <c r="W28" i="4"/>
  <c r="V28" i="4"/>
  <c r="U28" i="4"/>
  <c r="T28" i="4"/>
  <c r="S28" i="4"/>
  <c r="R28" i="4"/>
  <c r="Q28" i="4"/>
  <c r="P28" i="4"/>
  <c r="O28" i="4"/>
  <c r="N28" i="4"/>
  <c r="M28" i="4"/>
  <c r="L28" i="4"/>
  <c r="W16" i="4"/>
  <c r="W26" i="4" s="1"/>
  <c r="V16" i="4"/>
  <c r="V27" i="4" s="1"/>
  <c r="U16" i="4"/>
  <c r="U27" i="4" s="1"/>
  <c r="T16" i="4"/>
  <c r="T27" i="4" s="1"/>
  <c r="S16" i="4"/>
  <c r="S25" i="4" s="1"/>
  <c r="R16" i="4"/>
  <c r="R27" i="4" s="1"/>
  <c r="Q16" i="4"/>
  <c r="Q27" i="4" s="1"/>
  <c r="P16" i="4"/>
  <c r="P27" i="4" s="1"/>
  <c r="O16" i="4"/>
  <c r="O24" i="4" s="1"/>
  <c r="N16" i="4"/>
  <c r="N27" i="4" s="1"/>
  <c r="M16" i="4"/>
  <c r="M27" i="4" s="1"/>
  <c r="L16" i="4"/>
  <c r="L27" i="4" s="1"/>
  <c r="K16" i="4"/>
  <c r="H7" i="4" s="1"/>
  <c r="K13" i="4"/>
  <c r="K12" i="4"/>
  <c r="N11" i="4" s="1"/>
  <c r="R11" i="4"/>
  <c r="X9" i="4"/>
  <c r="O23" i="4" s="1"/>
  <c r="J9" i="4"/>
  <c r="H9" i="4"/>
  <c r="D9" i="4"/>
  <c r="N23" i="4" s="1"/>
  <c r="X8" i="4"/>
  <c r="J8" i="4"/>
  <c r="H8" i="4"/>
  <c r="D8" i="4"/>
  <c r="X7" i="4"/>
  <c r="J7" i="4"/>
  <c r="D7" i="4"/>
  <c r="X6" i="4"/>
  <c r="J6" i="4"/>
  <c r="D6" i="4"/>
  <c r="X5" i="4"/>
  <c r="D5" i="4"/>
  <c r="X4" i="4"/>
  <c r="D4" i="4"/>
  <c r="N18" i="4" s="1"/>
  <c r="K13" i="3"/>
  <c r="O22" i="4" l="1"/>
  <c r="O19" i="4"/>
  <c r="C42" i="4"/>
  <c r="D42" i="4"/>
  <c r="E43" i="4"/>
  <c r="W25" i="4"/>
  <c r="W24" i="4"/>
  <c r="O26" i="4"/>
  <c r="S27" i="4"/>
  <c r="K29" i="4"/>
  <c r="P23" i="4" s="1"/>
  <c r="H6" i="4"/>
  <c r="O25" i="4"/>
  <c r="S26" i="4"/>
  <c r="W27" i="4"/>
  <c r="S24" i="4"/>
  <c r="O27" i="4"/>
  <c r="H4" i="4"/>
  <c r="H5" i="4"/>
  <c r="L24" i="4"/>
  <c r="P24" i="4"/>
  <c r="T24" i="4"/>
  <c r="L25" i="4"/>
  <c r="P25" i="4"/>
  <c r="T25" i="4"/>
  <c r="L26" i="4"/>
  <c r="P26" i="4"/>
  <c r="T26" i="4"/>
  <c r="K28" i="4"/>
  <c r="P22" i="4" s="1"/>
  <c r="M24" i="4"/>
  <c r="Q24" i="4"/>
  <c r="U24" i="4"/>
  <c r="M25" i="4"/>
  <c r="Q25" i="4"/>
  <c r="U25" i="4"/>
  <c r="M26" i="4"/>
  <c r="Q26" i="4"/>
  <c r="U26" i="4"/>
  <c r="N24" i="4"/>
  <c r="R24" i="4"/>
  <c r="V24" i="4"/>
  <c r="N25" i="4"/>
  <c r="R25" i="4"/>
  <c r="V25" i="4"/>
  <c r="N26" i="4"/>
  <c r="R26" i="4"/>
  <c r="V26" i="4"/>
  <c r="O20" i="4"/>
  <c r="O21" i="4"/>
  <c r="N21" i="4"/>
  <c r="N19" i="4"/>
  <c r="O18" i="4"/>
  <c r="G43" i="4"/>
  <c r="N20" i="4"/>
  <c r="N22" i="4"/>
  <c r="E42" i="4"/>
  <c r="C43" i="4"/>
  <c r="D5" i="3"/>
  <c r="D4" i="3"/>
  <c r="D6" i="3"/>
  <c r="K27" i="4" l="1"/>
  <c r="P21" i="4" s="1"/>
  <c r="C41" i="4" s="1"/>
  <c r="K26" i="4"/>
  <c r="P20" i="4" s="1"/>
  <c r="C40" i="4" s="1"/>
  <c r="K25" i="4"/>
  <c r="P19" i="4" s="1"/>
  <c r="C39" i="4" s="1"/>
  <c r="K24" i="4"/>
  <c r="P18" i="4" s="1"/>
  <c r="C38" i="4" s="1"/>
  <c r="K11" i="4"/>
  <c r="K18" i="4" s="1"/>
  <c r="X4" i="3"/>
  <c r="C32" i="4" l="1"/>
  <c r="M19" i="4"/>
  <c r="L18" i="4"/>
  <c r="L19" i="4"/>
  <c r="L20" i="4"/>
  <c r="S18" i="4"/>
  <c r="L22" i="4"/>
  <c r="M21" i="4"/>
  <c r="M20" i="4"/>
  <c r="R18" i="4"/>
  <c r="M23" i="4"/>
  <c r="Q18" i="4"/>
  <c r="M18" i="4"/>
  <c r="K20" i="4"/>
  <c r="K19" i="4"/>
  <c r="M22" i="4"/>
  <c r="K21" i="4"/>
  <c r="L21" i="4"/>
  <c r="L23" i="4"/>
  <c r="K22" i="4"/>
  <c r="K23" i="4"/>
  <c r="C44" i="4"/>
  <c r="D7" i="3"/>
  <c r="D8" i="3"/>
  <c r="D9" i="3"/>
  <c r="K12" i="3"/>
  <c r="J4" i="3"/>
  <c r="K16" i="3"/>
  <c r="H7" i="3" s="1"/>
  <c r="L16" i="3"/>
  <c r="W16" i="3"/>
  <c r="V16" i="3"/>
  <c r="U16" i="3"/>
  <c r="T16" i="3"/>
  <c r="S16" i="3"/>
  <c r="Q16" i="3"/>
  <c r="P16" i="3"/>
  <c r="O16" i="3"/>
  <c r="N16" i="3"/>
  <c r="M16" i="3"/>
  <c r="R16" i="3"/>
  <c r="R26" i="3" s="1"/>
  <c r="N13" i="3" l="1"/>
  <c r="N12" i="3"/>
  <c r="D39" i="4"/>
  <c r="N11" i="3"/>
  <c r="R12" i="4"/>
  <c r="D41" i="4"/>
  <c r="E34" i="4"/>
  <c r="G34" i="4" s="1"/>
  <c r="E33" i="4"/>
  <c r="G33" i="4" s="1"/>
  <c r="E32" i="4"/>
  <c r="G32" i="4" s="1"/>
  <c r="C34" i="4"/>
  <c r="C33" i="4"/>
  <c r="D40" i="4"/>
  <c r="D38" i="4"/>
  <c r="H9" i="3"/>
  <c r="H8" i="3"/>
  <c r="H6" i="3"/>
  <c r="H5" i="3"/>
  <c r="H4" i="3"/>
  <c r="X5" i="3"/>
  <c r="X6" i="3"/>
  <c r="X7" i="3"/>
  <c r="X8" i="3"/>
  <c r="X9" i="3"/>
  <c r="M27" i="3"/>
  <c r="N27" i="3"/>
  <c r="O27" i="3"/>
  <c r="P27" i="3"/>
  <c r="Q27" i="3"/>
  <c r="R27" i="3"/>
  <c r="S27" i="3"/>
  <c r="T27" i="3"/>
  <c r="U27" i="3"/>
  <c r="V27" i="3"/>
  <c r="W27" i="3"/>
  <c r="M28" i="3"/>
  <c r="N28" i="3"/>
  <c r="O28" i="3"/>
  <c r="P28" i="3"/>
  <c r="Q28" i="3"/>
  <c r="R28" i="3"/>
  <c r="S28" i="3"/>
  <c r="T28" i="3"/>
  <c r="U28" i="3"/>
  <c r="V28" i="3"/>
  <c r="W28" i="3"/>
  <c r="M29" i="3"/>
  <c r="N29" i="3"/>
  <c r="O29" i="3"/>
  <c r="P29" i="3"/>
  <c r="Q29" i="3"/>
  <c r="R29" i="3"/>
  <c r="S29" i="3"/>
  <c r="T29" i="3"/>
  <c r="U29" i="3"/>
  <c r="V29" i="3"/>
  <c r="W29" i="3"/>
  <c r="L27" i="3"/>
  <c r="L28" i="3"/>
  <c r="L29" i="3"/>
  <c r="L24" i="3"/>
  <c r="M24" i="3"/>
  <c r="N24" i="3"/>
  <c r="O24" i="3"/>
  <c r="P24" i="3"/>
  <c r="Q24" i="3"/>
  <c r="R24" i="3"/>
  <c r="S24" i="3"/>
  <c r="T24" i="3"/>
  <c r="U24" i="3"/>
  <c r="V24" i="3"/>
  <c r="W24" i="3"/>
  <c r="W25" i="3"/>
  <c r="V26" i="3"/>
  <c r="U26" i="3"/>
  <c r="E39" i="4" l="1"/>
  <c r="E35" i="4"/>
  <c r="G35" i="4" s="1"/>
  <c r="J39" i="4" s="1"/>
  <c r="E41" i="4"/>
  <c r="E40" i="4"/>
  <c r="C35" i="4"/>
  <c r="D44" i="4"/>
  <c r="E38" i="4"/>
  <c r="O21" i="3"/>
  <c r="N21" i="3"/>
  <c r="V25" i="3"/>
  <c r="K28" i="3"/>
  <c r="W26" i="3"/>
  <c r="U25" i="3"/>
  <c r="K24" i="3"/>
  <c r="K29" i="3"/>
  <c r="K27" i="3"/>
  <c r="J43" i="4" l="1"/>
  <c r="J40" i="4"/>
  <c r="J42" i="4"/>
  <c r="J41" i="4"/>
  <c r="G39" i="4"/>
  <c r="G41" i="4"/>
  <c r="E44" i="4"/>
  <c r="G40" i="4"/>
  <c r="J37" i="4"/>
  <c r="J38" i="4"/>
  <c r="G38" i="4"/>
  <c r="P21" i="3"/>
  <c r="G44" i="4" l="1"/>
  <c r="J36" i="4"/>
  <c r="J44" i="4" s="1"/>
  <c r="S25" i="3"/>
  <c r="S26" i="3"/>
  <c r="O25" i="3"/>
  <c r="O26" i="3"/>
  <c r="Q26" i="3"/>
  <c r="Q25" i="3"/>
  <c r="R25" i="3"/>
  <c r="N25" i="3"/>
  <c r="N26" i="3"/>
  <c r="L25" i="3"/>
  <c r="L26" i="3"/>
  <c r="M26" i="3"/>
  <c r="M25" i="3"/>
  <c r="T25" i="3"/>
  <c r="T26" i="3"/>
  <c r="P25" i="3"/>
  <c r="P26" i="3"/>
  <c r="J6" i="3"/>
  <c r="J7" i="3"/>
  <c r="J8" i="3"/>
  <c r="J9" i="3"/>
  <c r="R11" i="3"/>
  <c r="K11" i="3" l="1"/>
  <c r="O23" i="3"/>
  <c r="N23" i="3"/>
  <c r="P23" i="3"/>
  <c r="N20" i="3"/>
  <c r="O20" i="3"/>
  <c r="N22" i="3"/>
  <c r="O22" i="3"/>
  <c r="P22" i="3"/>
  <c r="K26" i="3"/>
  <c r="K25" i="3"/>
  <c r="B41" i="3"/>
  <c r="B42" i="3"/>
  <c r="B43" i="3"/>
  <c r="B38" i="3"/>
  <c r="B39" i="3"/>
  <c r="B40" i="3"/>
  <c r="J5" i="3"/>
  <c r="L22" i="3" l="1"/>
  <c r="K22" i="3"/>
  <c r="L23" i="3"/>
  <c r="K21" i="3"/>
  <c r="L21" i="3"/>
  <c r="K23" i="3"/>
  <c r="D43" i="3" s="1"/>
  <c r="K19" i="3"/>
  <c r="K18" i="3"/>
  <c r="L19" i="3"/>
  <c r="L18" i="3"/>
  <c r="L20" i="3"/>
  <c r="K20" i="3"/>
  <c r="M19" i="3"/>
  <c r="M20" i="3"/>
  <c r="M23" i="3"/>
  <c r="M21" i="3"/>
  <c r="M22" i="3"/>
  <c r="M18" i="3"/>
  <c r="R18" i="3"/>
  <c r="Q18" i="3"/>
  <c r="O19" i="3"/>
  <c r="N19" i="3"/>
  <c r="P19" i="3"/>
  <c r="O18" i="3"/>
  <c r="N18" i="3"/>
  <c r="P18" i="3"/>
  <c r="P20" i="3"/>
  <c r="C40" i="3" s="1"/>
  <c r="C43" i="3"/>
  <c r="C42" i="3"/>
  <c r="C41" i="3"/>
  <c r="S18" i="3"/>
  <c r="D42" i="3" l="1"/>
  <c r="R12" i="3"/>
  <c r="D41" i="3"/>
  <c r="D39" i="3"/>
  <c r="C34" i="3"/>
  <c r="D40" i="3"/>
  <c r="D38" i="3"/>
  <c r="E33" i="3"/>
  <c r="G33" i="3" s="1"/>
  <c r="C39" i="3"/>
  <c r="E32" i="3"/>
  <c r="C38" i="3"/>
  <c r="C33" i="3"/>
  <c r="E34" i="3"/>
  <c r="G34" i="3" s="1"/>
  <c r="C32" i="3"/>
  <c r="E43" i="3" s="1"/>
  <c r="E42" i="3" l="1"/>
  <c r="E41" i="3"/>
  <c r="G32" i="3"/>
  <c r="E35" i="3"/>
  <c r="C44" i="3"/>
  <c r="E40" i="3"/>
  <c r="E38" i="3"/>
  <c r="E39" i="3"/>
  <c r="D44" i="3"/>
  <c r="E44" i="3" l="1"/>
  <c r="C35" i="3"/>
  <c r="G35" i="3" l="1"/>
  <c r="G43" i="3" l="1"/>
  <c r="J43" i="3"/>
  <c r="G41" i="3"/>
  <c r="G42" i="3"/>
  <c r="G40" i="3"/>
  <c r="G39" i="3"/>
  <c r="J37" i="3"/>
  <c r="J40" i="3"/>
  <c r="J42" i="3"/>
  <c r="G38" i="3"/>
  <c r="J39" i="3"/>
  <c r="J41" i="3"/>
  <c r="J38" i="3"/>
  <c r="J36" i="3" l="1"/>
  <c r="J44" i="3" s="1"/>
  <c r="G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沖津　弘之</author>
    <author>U0562</author>
  </authors>
  <commentList>
    <comment ref="E4" authorId="0" shapeId="0" xr:uid="{00000000-0006-0000-0000-000001000000}">
      <text>
        <r>
          <rPr>
            <b/>
            <sz val="14"/>
            <color indexed="81"/>
            <rFont val="HG丸ｺﾞｼｯｸM-PRO"/>
            <family val="3"/>
            <charset val="128"/>
          </rPr>
          <t xml:space="preserve">
下記の方はチェックを入れてください。
給与収入額55万円を超える者又は、
公的年金等の収入額が、125万円を超える者(65歳未満は60万円超)</t>
        </r>
      </text>
    </comment>
    <comment ref="K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・世帯主かつ、国保加入者→1
・世帯主で、国保ではない方（社保等）→2
・1か2を必ず入力してください。</t>
        </r>
      </text>
    </comment>
    <comment ref="K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8" authorId="0" shapeId="0" xr:uid="{00000000-0006-0000-0000-000006000000}">
      <text>
        <r>
          <rPr>
            <b/>
            <sz val="14"/>
            <color indexed="81"/>
            <rFont val="HG丸ｺﾞｼｯｸM-PRO"/>
            <family val="3"/>
            <charset val="128"/>
          </rPr>
          <t xml:space="preserve">
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9" authorId="0" shapeId="0" xr:uid="{00000000-0006-0000-0000-000007000000}">
      <text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C12" authorId="1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基礎控除額</t>
        </r>
      </text>
    </comment>
    <comment ref="K24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介護分該当月数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沖津　弘之</author>
    <author>U0562</author>
  </authors>
  <commentList>
    <comment ref="E4" authorId="0" shapeId="0" xr:uid="{00000000-0006-0000-0100-000001000000}">
      <text>
        <r>
          <rPr>
            <b/>
            <sz val="14"/>
            <color indexed="81"/>
            <rFont val="HG丸ｺﾞｼｯｸM-PRO"/>
            <family val="3"/>
            <charset val="128"/>
          </rPr>
          <t xml:space="preserve">
下記の方はチェックを入れてください。
給与収入額55万円を超える者又は、
公的年金等の収入額が、125万円を超える者(65歳未満は60万円超)</t>
        </r>
      </text>
    </comment>
    <comment ref="K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・世帯主かつ、国保加入者→1
・世帯主で、国保ではない方（社保等）→2
・1か2を必ず入力してください。</t>
        </r>
      </text>
    </comment>
    <comment ref="K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6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8" authorId="0" shapeId="0" xr:uid="{00000000-0006-0000-0100-000006000000}">
      <text>
        <r>
          <rPr>
            <b/>
            <sz val="14"/>
            <color indexed="81"/>
            <rFont val="HG丸ｺﾞｼｯｸM-PRO"/>
            <family val="3"/>
            <charset val="128"/>
          </rPr>
          <t xml:space="preserve">
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K9" authorId="0" shapeId="0" xr:uid="{00000000-0006-0000-0100-000007000000}">
      <text>
        <r>
          <rPr>
            <b/>
            <sz val="14"/>
            <color indexed="81"/>
            <rFont val="HG丸ｺﾞｼｯｸM-PRO"/>
            <family val="3"/>
            <charset val="128"/>
          </rPr>
          <t>下記の通り、加入月に合わせて入力してください。
世帯員の方で国保加入者→3
世帯員の方で国保でない方→空欄（入力しない）
社会保険、後期高齢者医療保険の場合は空欄</t>
        </r>
      </text>
    </comment>
    <comment ref="C12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基礎控除額</t>
        </r>
      </text>
    </comment>
    <comment ref="K24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介護分該当月数
</t>
        </r>
      </text>
    </comment>
  </commentList>
</comments>
</file>

<file path=xl/sharedStrings.xml><?xml version="1.0" encoding="utf-8"?>
<sst xmlns="http://schemas.openxmlformats.org/spreadsheetml/2006/main" count="174" uniqueCount="77">
  <si>
    <t>所得割額</t>
    <rPh sb="0" eb="2">
      <t>ショトク</t>
    </rPh>
    <rPh sb="2" eb="3">
      <t>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</si>
  <si>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</si>
  <si>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均等割額</t>
    <rPh sb="0" eb="3">
      <t>キントウワ</t>
    </rPh>
    <rPh sb="3" eb="4">
      <t>ガク</t>
    </rPh>
    <phoneticPr fontId="2"/>
  </si>
  <si>
    <t>限度額</t>
    <rPh sb="0" eb="2">
      <t>ゲンド</t>
    </rPh>
    <rPh sb="2" eb="3">
      <t>ガク</t>
    </rPh>
    <phoneticPr fontId="2"/>
  </si>
  <si>
    <t>加入者１人につき</t>
    <rPh sb="0" eb="3">
      <t>カニュウシャ</t>
    </rPh>
    <rPh sb="4" eb="5">
      <t>リ</t>
    </rPh>
    <phoneticPr fontId="2"/>
  </si>
  <si>
    <t>１世帯につき</t>
    <rPh sb="1" eb="3">
      <t>セタイ</t>
    </rPh>
    <phoneticPr fontId="2"/>
  </si>
  <si>
    <t>総所得金額</t>
    <rPh sb="0" eb="3">
      <t>ソウショトク</t>
    </rPh>
    <rPh sb="3" eb="5">
      <t>キンガク</t>
    </rPh>
    <phoneticPr fontId="2"/>
  </si>
  <si>
    <t>世帯員</t>
    <rPh sb="0" eb="3">
      <t>セタイイン</t>
    </rPh>
    <phoneticPr fontId="2"/>
  </si>
  <si>
    <t>年額</t>
    <rPh sb="0" eb="2">
      <t>ネンガク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</si>
  <si>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</si>
  <si>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</si>
  <si>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t>７割軽減</t>
    <rPh sb="1" eb="2">
      <t>ワリ</t>
    </rPh>
    <rPh sb="2" eb="4">
      <t>ケイゲン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</si>
  <si>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</si>
  <si>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</si>
  <si>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基礎控除後</t>
    <rPh sb="0" eb="2">
      <t>キソ</t>
    </rPh>
    <rPh sb="2" eb="4">
      <t>コウジョ</t>
    </rPh>
    <rPh sb="4" eb="5">
      <t>ゴ</t>
    </rPh>
    <phoneticPr fontId="2"/>
  </si>
  <si>
    <t>1:普主</t>
    <rPh sb="2" eb="3">
      <t>フ</t>
    </rPh>
    <rPh sb="3" eb="4">
      <t>ヌシ</t>
    </rPh>
    <phoneticPr fontId="2"/>
  </si>
  <si>
    <t>2:擬主</t>
    <rPh sb="2" eb="3">
      <t>ギ</t>
    </rPh>
    <rPh sb="3" eb="4">
      <t>ヌシ</t>
    </rPh>
    <phoneticPr fontId="2"/>
  </si>
  <si>
    <t>3:被保</t>
    <rPh sb="2" eb="3">
      <t>ヒ</t>
    </rPh>
    <rPh sb="3" eb="4">
      <t>ホ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</si>
  <si>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</si>
  <si>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算定用所得</t>
    <rPh sb="0" eb="2">
      <t>サンテイ</t>
    </rPh>
    <rPh sb="2" eb="3">
      <t>ヨウ</t>
    </rPh>
    <rPh sb="3" eb="5">
      <t>ショトク</t>
    </rPh>
    <phoneticPr fontId="2"/>
  </si>
  <si>
    <t>被保険者数</t>
    <rPh sb="0" eb="4">
      <t>ヒホケンシャ</t>
    </rPh>
    <rPh sb="4" eb="5">
      <t>スウ</t>
    </rPh>
    <phoneticPr fontId="2"/>
  </si>
  <si>
    <t>前年1月～12月の所得</t>
    <rPh sb="0" eb="2">
      <t>ゼンネン</t>
    </rPh>
    <rPh sb="3" eb="4">
      <t>ガツ</t>
    </rPh>
    <rPh sb="7" eb="8">
      <t>ガツ</t>
    </rPh>
    <rPh sb="9" eb="11">
      <t>ショトク</t>
    </rPh>
    <phoneticPr fontId="2"/>
  </si>
  <si>
    <t>計</t>
    <rPh sb="0" eb="1">
      <t>ケイ</t>
    </rPh>
    <phoneticPr fontId="2"/>
  </si>
  <si>
    <t>氏名</t>
    <rPh sb="0" eb="2">
      <t>シメイ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</si>
  <si>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</si>
  <si>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期別</t>
    <rPh sb="0" eb="1">
      <t>キ</t>
    </rPh>
    <rPh sb="1" eb="2">
      <t>ベツ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</si>
  <si>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</si>
  <si>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</si>
  <si>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</si>
  <si>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端数処理</t>
    <rPh sb="0" eb="2">
      <t>ハスウ</t>
    </rPh>
    <rPh sb="2" eb="4">
      <t>ショリ</t>
    </rPh>
    <phoneticPr fontId="2"/>
  </si>
  <si>
    <t>軽　　減</t>
    <rPh sb="0" eb="1">
      <t>ケイ</t>
    </rPh>
    <rPh sb="3" eb="4">
      <t>ゲン</t>
    </rPh>
    <phoneticPr fontId="2"/>
  </si>
  <si>
    <t>金額(上限反映前)</t>
    <rPh sb="0" eb="2">
      <t>キンガク</t>
    </rPh>
    <rPh sb="3" eb="5">
      <t>ジョウゲン</t>
    </rPh>
    <rPh sb="5" eb="7">
      <t>ハンエイ</t>
    </rPh>
    <rPh sb="7" eb="8">
      <t>マエ</t>
    </rPh>
    <phoneticPr fontId="2"/>
  </si>
  <si>
    <t>金額(上限反映後)</t>
    <rPh sb="0" eb="2">
      <t>キンガク</t>
    </rPh>
    <rPh sb="3" eb="5">
      <t>ジョウゲン</t>
    </rPh>
    <rPh sb="5" eb="7">
      <t>ハンエイ</t>
    </rPh>
    <rPh sb="7" eb="8">
      <t>ゴ</t>
    </rPh>
    <phoneticPr fontId="2"/>
  </si>
  <si>
    <t>平等割率</t>
    <rPh sb="0" eb="2">
      <t>ビョウドウ</t>
    </rPh>
    <rPh sb="2" eb="3">
      <t>ワリ</t>
    </rPh>
    <rPh sb="3" eb="4">
      <t>リツ</t>
    </rPh>
    <phoneticPr fontId="2"/>
  </si>
  <si>
    <t>個人負担相当額</t>
    <rPh sb="0" eb="2">
      <t>コジン</t>
    </rPh>
    <rPh sb="2" eb="4">
      <t>フタン</t>
    </rPh>
    <rPh sb="4" eb="6">
      <t>ソウトウ</t>
    </rPh>
    <rPh sb="6" eb="7">
      <t>ガク</t>
    </rPh>
    <phoneticPr fontId="2"/>
  </si>
  <si>
    <t>(計算用)所得割</t>
    <rPh sb="1" eb="4">
      <t>ケイサンヨウ</t>
    </rPh>
    <rPh sb="5" eb="7">
      <t>ショトク</t>
    </rPh>
    <rPh sb="7" eb="8">
      <t>ワリ</t>
    </rPh>
    <phoneticPr fontId="2"/>
  </si>
  <si>
    <t>(計算用)均等割</t>
    <rPh sb="1" eb="4">
      <t>ケイサンヨウ</t>
    </rPh>
    <rPh sb="5" eb="8">
      <t>キントウワ</t>
    </rPh>
    <phoneticPr fontId="2"/>
  </si>
  <si>
    <t>に入力してください。</t>
    <rPh sb="1" eb="3">
      <t>ニュウリョク</t>
    </rPh>
    <phoneticPr fontId="2"/>
  </si>
  <si>
    <t>算定基礎額</t>
    <rPh sb="0" eb="2">
      <t>サンテイ</t>
    </rPh>
    <rPh sb="2" eb="4">
      <t>キソ</t>
    </rPh>
    <rPh sb="4" eb="5">
      <t>ガク</t>
    </rPh>
    <phoneticPr fontId="2"/>
  </si>
  <si>
    <t>医療分</t>
    <rPh sb="0" eb="2">
      <t>イリョウ</t>
    </rPh>
    <rPh sb="2" eb="3">
      <t>ブン</t>
    </rPh>
    <phoneticPr fontId="2"/>
  </si>
  <si>
    <t>後期分</t>
    <rPh sb="0" eb="2">
      <t>コウキ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</si>
  <si>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</si>
  <si>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区　分</t>
    <rPh sb="0" eb="1">
      <t>ク</t>
    </rPh>
    <rPh sb="2" eb="3">
      <t>ブン</t>
    </rPh>
    <phoneticPr fontId="2"/>
  </si>
  <si>
    <t>医　療</t>
    <rPh sb="0" eb="1">
      <t>イ</t>
    </rPh>
    <rPh sb="2" eb="3">
      <t>リョウ</t>
    </rPh>
    <phoneticPr fontId="2"/>
  </si>
  <si>
    <t>後　期</t>
  </si>
  <si>
    <t>介　護</t>
    <rPh sb="0" eb="1">
      <t>スケ</t>
    </rPh>
    <rPh sb="2" eb="3">
      <t>マモル</t>
    </rPh>
    <phoneticPr fontId="2"/>
  </si>
  <si>
    <t>4/1</t>
    <phoneticPr fontId="2"/>
  </si>
  <si>
    <t>生年月日</t>
    <rPh sb="0" eb="2">
      <t>セイネン</t>
    </rPh>
    <rPh sb="2" eb="4">
      <t>ガッピ</t>
    </rPh>
    <phoneticPr fontId="2"/>
  </si>
  <si>
    <t>均医</t>
    <rPh sb="0" eb="1">
      <t>ヒトシ</t>
    </rPh>
    <rPh sb="1" eb="2">
      <t>イ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</si>
  <si>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</si>
  <si>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</si>
  <si>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</si>
  <si>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</si>
  <si>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世帯員５</t>
    <rPh sb="0" eb="3">
      <t>セタイイン</t>
    </rPh>
    <phoneticPr fontId="2"/>
  </si>
  <si>
    <t>世帯員６</t>
    <rPh sb="0" eb="3">
      <t>セタイイン</t>
    </rPh>
    <phoneticPr fontId="2"/>
  </si>
  <si>
    <t>均後</t>
    <rPh sb="0" eb="1">
      <t>ヒトシ</t>
    </rPh>
    <rPh sb="1" eb="2">
      <t>ゴ</t>
    </rPh>
    <phoneticPr fontId="2"/>
  </si>
  <si>
    <t>均介</t>
    <rPh sb="0" eb="1">
      <t>ヒトシ</t>
    </rPh>
    <rPh sb="1" eb="2">
      <t>カイ</t>
    </rPh>
    <phoneticPr fontId="2"/>
  </si>
  <si>
    <t>所医</t>
    <rPh sb="0" eb="1">
      <t>トコロ</t>
    </rPh>
    <rPh sb="1" eb="2">
      <t>イ</t>
    </rPh>
    <phoneticPr fontId="2"/>
  </si>
  <si>
    <t>所後</t>
    <rPh sb="0" eb="1">
      <t>ショ</t>
    </rPh>
    <rPh sb="1" eb="2">
      <t>ゴ</t>
    </rPh>
    <phoneticPr fontId="2"/>
  </si>
  <si>
    <t>所介</t>
    <rPh sb="0" eb="1">
      <t>トコロ</t>
    </rPh>
    <rPh sb="1" eb="2">
      <t>カイ</t>
    </rPh>
    <phoneticPr fontId="2"/>
  </si>
  <si>
    <t>平医</t>
    <rPh sb="0" eb="1">
      <t>タイラ</t>
    </rPh>
    <rPh sb="1" eb="2">
      <t>イ</t>
    </rPh>
    <phoneticPr fontId="2"/>
  </si>
  <si>
    <t>平後</t>
    <rPh sb="0" eb="1">
      <t>タイラ</t>
    </rPh>
    <rPh sb="1" eb="2">
      <t>ゴ</t>
    </rPh>
    <phoneticPr fontId="2"/>
  </si>
  <si>
    <t>平介</t>
    <rPh sb="0" eb="1">
      <t>タイラ</t>
    </rPh>
    <rPh sb="1" eb="2">
      <t>カイ</t>
    </rPh>
    <phoneticPr fontId="2"/>
  </si>
  <si>
    <t>非自発失業</t>
    <rPh sb="0" eb="1">
      <t>ヒ</t>
    </rPh>
    <rPh sb="1" eb="3">
      <t>ジハツ</t>
    </rPh>
    <rPh sb="3" eb="5">
      <t>シツギョウ</t>
    </rPh>
    <phoneticPr fontId="2"/>
  </si>
  <si>
    <t>　  　　国保 　太郎　　　 3,000,000</t>
    <rPh sb="5" eb="7">
      <t>コクホ</t>
    </rPh>
    <rPh sb="9" eb="11">
      <t>タロウ</t>
    </rPh>
    <phoneticPr fontId="2"/>
  </si>
  <si>
    <t>真　岡　市　国　民　健　康　保　険　税　試　算　ワ　ー　ク　シ　ー　ト</t>
    <rPh sb="0" eb="1">
      <t>シン</t>
    </rPh>
    <rPh sb="2" eb="3">
      <t>オカ</t>
    </rPh>
    <rPh sb="4" eb="5">
      <t>シ</t>
    </rPh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ゼイ</t>
    </rPh>
    <rPh sb="20" eb="21">
      <t>タメシ</t>
    </rPh>
    <rPh sb="22" eb="23">
      <t>サン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</si>
  <si>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</si>
  <si>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非自発</t>
    <rPh sb="0" eb="1">
      <t>ヒ</t>
    </rPh>
    <rPh sb="1" eb="3">
      <t>ジハツ</t>
    </rPh>
    <phoneticPr fontId="2"/>
  </si>
  <si>
    <t>未就額軽減</t>
    <rPh sb="0" eb="2">
      <t>ミシュウ</t>
    </rPh>
    <rPh sb="2" eb="3">
      <t>ガク</t>
    </rPh>
    <rPh sb="3" eb="5">
      <t>ケイゲン</t>
    </rPh>
    <phoneticPr fontId="2"/>
  </si>
  <si>
    <t>世帯主</t>
    <rPh sb="0" eb="3">
      <t>セタイヌシ</t>
    </rPh>
    <phoneticPr fontId="2"/>
  </si>
  <si>
    <t>妻</t>
    <rPh sb="0" eb="1">
      <t>ツマ</t>
    </rPh>
    <phoneticPr fontId="2"/>
  </si>
  <si>
    <t>子</t>
    <rPh sb="0" eb="1">
      <t>コ</t>
    </rPh>
    <phoneticPr fontId="2"/>
  </si>
  <si>
    <t>子</t>
    <rPh sb="0" eb="1">
      <t>コ</t>
    </rPh>
    <phoneticPr fontId="2"/>
  </si>
  <si>
    <t>←税額はこちらに表示されます。</t>
    <rPh sb="1" eb="3">
      <t>ゼイガク</t>
    </rPh>
    <rPh sb="8" eb="10">
      <t>ヒョウジ</t>
    </rPh>
    <phoneticPr fontId="2"/>
  </si>
  <si>
    <t>※試算となりますので、実際に課税される税額と異なる場合があります。</t>
  </si>
  <si>
    <t>※給与所得者等は、給与収入額55万円を超える者又は、公的年金等の収入額が、125万円を超える者(65歳未満は60万円超)</t>
    <phoneticPr fontId="2"/>
  </si>
  <si>
    <t>世帯主は「1」か「2」を必ず入力してください。世帯員は「3」か「空欄」になります。</t>
    <rPh sb="12" eb="13">
      <t>カナラ</t>
    </rPh>
    <rPh sb="14" eb="16">
      <t>ニュウリョク</t>
    </rPh>
    <rPh sb="23" eb="26">
      <t>セタイイン</t>
    </rPh>
    <rPh sb="32" eb="34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</si>
</sst>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&quot;令和&quot;General&quot;年度&quot;"/>
    <numFmt numFmtId="178" formatCode="[$-411]ge\.m\.d;@"/>
    <numFmt numFmtId="179" formatCode="General&quot;月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 tint="-4.9989318521683403E-2"/>
      <name val="游ゴシック"/>
      <family val="2"/>
      <charset val="128"/>
      <scheme val="minor"/>
    </font>
    <font>
      <sz val="11"/>
      <color rgb="FFFEFFE5"/>
      <name val="HGSｺﾞｼｯｸM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1"/>
      <color rgb="FFFEFFE5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HG丸ｺﾞｼｯｸM-PRO"/>
      <family val="3"/>
      <charset val="128"/>
    </font>
    <font>
      <b/>
      <sz val="14"/>
      <color indexed="81"/>
      <name val="HG丸ｺﾞｼｯｸM-PRO"/>
      <family val="3"/>
      <charset val="128"/>
    </font>
    <font>
      <sz val="14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HGS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FFE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38" fontId="12" fillId="0" borderId="1" xfId="0" applyNumberFormat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0" fontId="0" fillId="0" borderId="1" xfId="0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8" fontId="0" fillId="2" borderId="1" xfId="0" applyNumberForma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38" fontId="0" fillId="3" borderId="0" xfId="1" applyFont="1" applyFill="1">
      <alignment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38" fontId="0" fillId="3" borderId="0" xfId="0" applyNumberFormat="1" applyFill="1">
      <alignment vertical="center"/>
    </xf>
    <xf numFmtId="0" fontId="3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38" fontId="0" fillId="3" borderId="0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>
      <alignment vertical="center"/>
    </xf>
    <xf numFmtId="38" fontId="18" fillId="0" borderId="1" xfId="1" applyFont="1" applyFill="1" applyBorder="1">
      <alignment vertical="center"/>
    </xf>
    <xf numFmtId="38" fontId="18" fillId="3" borderId="0" xfId="0" applyNumberFormat="1" applyFont="1" applyFill="1">
      <alignment vertical="center"/>
    </xf>
    <xf numFmtId="38" fontId="18" fillId="5" borderId="1" xfId="1" applyFont="1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38" fontId="7" fillId="7" borderId="1" xfId="1" applyFont="1" applyFill="1" applyBorder="1" applyAlignment="1">
      <alignment horizontal="center" vertical="center"/>
    </xf>
    <xf numFmtId="38" fontId="18" fillId="0" borderId="7" xfId="1" applyFont="1" applyFill="1" applyBorder="1">
      <alignment vertical="center"/>
    </xf>
    <xf numFmtId="0" fontId="0" fillId="7" borderId="4" xfId="0" applyFill="1" applyBorder="1" applyAlignment="1">
      <alignment horizontal="center" vertical="center"/>
    </xf>
    <xf numFmtId="38" fontId="7" fillId="3" borderId="0" xfId="0" applyNumberFormat="1" applyFont="1" applyFill="1" applyBorder="1" applyAlignment="1">
      <alignment horizontal="center" vertical="center"/>
    </xf>
    <xf numFmtId="38" fontId="7" fillId="3" borderId="0" xfId="1" applyFont="1" applyFill="1" applyBorder="1" applyAlignment="1">
      <alignment horizontal="center" vertical="center"/>
    </xf>
    <xf numFmtId="38" fontId="18" fillId="5" borderId="1" xfId="1" applyFont="1" applyFill="1" applyBorder="1" applyAlignment="1">
      <alignment horizontal="right" vertical="center"/>
    </xf>
    <xf numFmtId="38" fontId="18" fillId="5" borderId="3" xfId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8" fontId="5" fillId="3" borderId="0" xfId="1" applyFont="1" applyFill="1" applyAlignment="1">
      <alignment horizontal="center" vertical="center"/>
    </xf>
    <xf numFmtId="38" fontId="3" fillId="3" borderId="0" xfId="0" applyNumberFormat="1" applyFont="1" applyFill="1">
      <alignment vertical="center"/>
    </xf>
    <xf numFmtId="0" fontId="19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8" fontId="18" fillId="3" borderId="1" xfId="1" applyFont="1" applyFill="1" applyBorder="1" applyAlignment="1">
      <alignment horizontal="right" vertical="center"/>
    </xf>
    <xf numFmtId="38" fontId="18" fillId="3" borderId="3" xfId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20" fillId="3" borderId="0" xfId="0" applyFont="1" applyFill="1">
      <alignment vertical="center"/>
    </xf>
    <xf numFmtId="0" fontId="20" fillId="3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4" fillId="8" borderId="1" xfId="1" applyFont="1" applyFill="1" applyBorder="1" applyAlignment="1">
      <alignment horizontal="center" vertical="center"/>
    </xf>
    <xf numFmtId="0" fontId="21" fillId="3" borderId="0" xfId="0" applyFont="1" applyFill="1">
      <alignment vertical="center"/>
    </xf>
    <xf numFmtId="0" fontId="21" fillId="3" borderId="0" xfId="0" applyFont="1" applyFill="1" applyAlignment="1">
      <alignment horizontal="center" vertical="center"/>
    </xf>
    <xf numFmtId="38" fontId="18" fillId="3" borderId="0" xfId="0" applyNumberFormat="1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18" fillId="3" borderId="0" xfId="0" applyFont="1" applyFill="1" applyProtection="1">
      <alignment vertical="center"/>
      <protection locked="0"/>
    </xf>
    <xf numFmtId="38" fontId="18" fillId="3" borderId="0" xfId="1" applyFont="1" applyFill="1" applyProtection="1">
      <alignment vertical="center"/>
      <protection locked="0"/>
    </xf>
    <xf numFmtId="0" fontId="23" fillId="3" borderId="0" xfId="0" applyFont="1" applyFill="1">
      <alignment vertical="center"/>
    </xf>
    <xf numFmtId="0" fontId="0" fillId="9" borderId="1" xfId="0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  <protection locked="0"/>
    </xf>
    <xf numFmtId="38" fontId="4" fillId="9" borderId="3" xfId="1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38" fontId="16" fillId="9" borderId="3" xfId="1" applyFont="1" applyFill="1" applyBorder="1" applyAlignment="1">
      <alignment horizontal="center" vertical="center"/>
    </xf>
    <xf numFmtId="178" fontId="4" fillId="9" borderId="1" xfId="1" applyNumberFormat="1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alignment vertical="center"/>
      <protection locked="0"/>
    </xf>
    <xf numFmtId="0" fontId="24" fillId="3" borderId="0" xfId="0" applyFont="1" applyFill="1">
      <alignment vertical="center"/>
    </xf>
    <xf numFmtId="0" fontId="25" fillId="3" borderId="0" xfId="0" applyFont="1" applyFill="1">
      <alignment vertical="center"/>
    </xf>
    <xf numFmtId="38" fontId="16" fillId="8" borderId="1" xfId="1" applyFont="1" applyFill="1" applyBorder="1" applyAlignment="1">
      <alignment horizontal="center" vertical="center"/>
    </xf>
    <xf numFmtId="38" fontId="24" fillId="0" borderId="1" xfId="0" applyNumberFormat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177" fontId="22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2" fillId="3" borderId="0" xfId="0" applyFont="1" applyFill="1" applyAlignment="1"/>
    <xf numFmtId="38" fontId="29" fillId="9" borderId="3" xfId="1" applyFont="1" applyFill="1" applyBorder="1" applyAlignment="1" applyProtection="1">
      <alignment horizontal="center" vertical="center"/>
      <protection locked="0"/>
    </xf>
    <xf numFmtId="178" fontId="29" fillId="9" borderId="1" xfId="1" applyNumberFormat="1" applyFont="1" applyFill="1" applyBorder="1" applyAlignment="1" applyProtection="1">
      <alignment horizontal="center" vertical="center"/>
      <protection locked="0"/>
    </xf>
    <xf numFmtId="0" fontId="28" fillId="9" borderId="1" xfId="0" applyFont="1" applyFill="1" applyBorder="1" applyProtection="1">
      <alignment vertical="center"/>
      <protection locked="0"/>
    </xf>
    <xf numFmtId="38" fontId="29" fillId="9" borderId="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0" fillId="0" borderId="5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justify"/>
    </xf>
    <xf numFmtId="0" fontId="0" fillId="2" borderId="1" xfId="0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FE5"/>
      <color rgb="FFEDF3F9"/>
      <color rgb="FFFEFFEF"/>
      <color rgb="FFFFFFEF"/>
      <color rgb="FFF7F7D5"/>
      <color rgb="FFECF4FA"/>
      <color rgb="FFF9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Z17" noThreeD="1"/>
</file>

<file path=xl/ctrlProps/ctrlProp10.xml><?xml version="1.0" encoding="utf-8"?>
<formControlPr xmlns="http://schemas.microsoft.com/office/spreadsheetml/2009/9/main" objectType="CheckBox" fmlaLink="X20" noThreeD="1"/>
</file>

<file path=xl/ctrlProps/ctrlProp11.xml><?xml version="1.0" encoding="utf-8"?>
<formControlPr xmlns="http://schemas.microsoft.com/office/spreadsheetml/2009/9/main" objectType="CheckBox" fmlaLink="X21" noThreeD="1"/>
</file>

<file path=xl/ctrlProps/ctrlProp12.xml><?xml version="1.0" encoding="utf-8"?>
<formControlPr xmlns="http://schemas.microsoft.com/office/spreadsheetml/2009/9/main" objectType="CheckBox" fmlaLink="X22" noThreeD="1"/>
</file>

<file path=xl/ctrlProps/ctrlProp13.xml><?xml version="1.0" encoding="utf-8"?>
<formControlPr xmlns="http://schemas.microsoft.com/office/spreadsheetml/2009/9/main" objectType="CheckBox" fmlaLink="Z17" noThreeD="1"/>
</file>

<file path=xl/ctrlProps/ctrlProp14.xml><?xml version="1.0" encoding="utf-8"?>
<formControlPr xmlns="http://schemas.microsoft.com/office/spreadsheetml/2009/9/main" objectType="CheckBox" fmlaLink="Z18" noThreeD="1"/>
</file>

<file path=xl/ctrlProps/ctrlProp15.xml><?xml version="1.0" encoding="utf-8"?>
<formControlPr xmlns="http://schemas.microsoft.com/office/spreadsheetml/2009/9/main" objectType="CheckBox" fmlaLink="Z19" noThreeD="1"/>
</file>

<file path=xl/ctrlProps/ctrlProp16.xml><?xml version="1.0" encoding="utf-8"?>
<formControlPr xmlns="http://schemas.microsoft.com/office/spreadsheetml/2009/9/main" objectType="CheckBox" fmlaLink="Z20" noThreeD="1"/>
</file>

<file path=xl/ctrlProps/ctrlProp17.xml><?xml version="1.0" encoding="utf-8"?>
<formControlPr xmlns="http://schemas.microsoft.com/office/spreadsheetml/2009/9/main" objectType="CheckBox" fmlaLink="Z21" noThreeD="1"/>
</file>

<file path=xl/ctrlProps/ctrlProp18.xml><?xml version="1.0" encoding="utf-8"?>
<formControlPr xmlns="http://schemas.microsoft.com/office/spreadsheetml/2009/9/main" objectType="CheckBox" fmlaLink="Z22" lockText="1" noThreeD="1"/>
</file>

<file path=xl/ctrlProps/ctrlProp19.xml><?xml version="1.0" encoding="utf-8"?>
<formControlPr xmlns="http://schemas.microsoft.com/office/spreadsheetml/2009/9/main" objectType="CheckBox" checked="Checked" fmlaLink="X17" noThreeD="1"/>
</file>

<file path=xl/ctrlProps/ctrlProp2.xml><?xml version="1.0" encoding="utf-8"?>
<formControlPr xmlns="http://schemas.microsoft.com/office/spreadsheetml/2009/9/main" objectType="CheckBox" fmlaLink="Z18" noThreeD="1"/>
</file>

<file path=xl/ctrlProps/ctrlProp20.xml><?xml version="1.0" encoding="utf-8"?>
<formControlPr xmlns="http://schemas.microsoft.com/office/spreadsheetml/2009/9/main" objectType="CheckBox" checked="Checked" fmlaLink="X18" noThreeD="1"/>
</file>

<file path=xl/ctrlProps/ctrlProp21.xml><?xml version="1.0" encoding="utf-8"?>
<formControlPr xmlns="http://schemas.microsoft.com/office/spreadsheetml/2009/9/main" objectType="CheckBox" fmlaLink="X19" noThreeD="1"/>
</file>

<file path=xl/ctrlProps/ctrlProp22.xml><?xml version="1.0" encoding="utf-8"?>
<formControlPr xmlns="http://schemas.microsoft.com/office/spreadsheetml/2009/9/main" objectType="CheckBox" fmlaLink="X20" noThreeD="1"/>
</file>

<file path=xl/ctrlProps/ctrlProp23.xml><?xml version="1.0" encoding="utf-8"?>
<formControlPr xmlns="http://schemas.microsoft.com/office/spreadsheetml/2009/9/main" objectType="CheckBox" fmlaLink="X21" noThreeD="1"/>
</file>

<file path=xl/ctrlProps/ctrlProp24.xml><?xml version="1.0" encoding="utf-8"?>
<formControlPr xmlns="http://schemas.microsoft.com/office/spreadsheetml/2009/9/main" objectType="CheckBox" fmlaLink="X22" noThreeD="1"/>
</file>

<file path=xl/ctrlProps/ctrlProp3.xml><?xml version="1.0" encoding="utf-8"?>
<formControlPr xmlns="http://schemas.microsoft.com/office/spreadsheetml/2009/9/main" objectType="CheckBox" fmlaLink="Z19" noThreeD="1"/>
</file>

<file path=xl/ctrlProps/ctrlProp4.xml><?xml version="1.0" encoding="utf-8"?>
<formControlPr xmlns="http://schemas.microsoft.com/office/spreadsheetml/2009/9/main" objectType="CheckBox" fmlaLink="Z20" noThreeD="1"/>
</file>

<file path=xl/ctrlProps/ctrlProp5.xml><?xml version="1.0" encoding="utf-8"?>
<formControlPr xmlns="http://schemas.microsoft.com/office/spreadsheetml/2009/9/main" objectType="CheckBox" fmlaLink="Z21" noThreeD="1"/>
</file>

<file path=xl/ctrlProps/ctrlProp6.xml><?xml version="1.0" encoding="utf-8"?>
<formControlPr xmlns="http://schemas.microsoft.com/office/spreadsheetml/2009/9/main" objectType="CheckBox" fmlaLink="Z22" lockText="1" noThreeD="1"/>
</file>

<file path=xl/ctrlProps/ctrlProp7.xml><?xml version="1.0" encoding="utf-8"?>
<formControlPr xmlns="http://schemas.microsoft.com/office/spreadsheetml/2009/9/main" objectType="CheckBox" checked="Checked" fmlaLink="X17" noThreeD="1"/>
</file>

<file path=xl/ctrlProps/ctrlProp8.xml><?xml version="1.0" encoding="utf-8"?>
<formControlPr xmlns="http://schemas.microsoft.com/office/spreadsheetml/2009/9/main" objectType="CheckBox" fmlaLink="X18" noThreeD="1"/>
</file>

<file path=xl/ctrlProps/ctrlProp9.xml><?xml version="1.0" encoding="utf-8"?>
<formControlPr xmlns="http://schemas.microsoft.com/office/spreadsheetml/2009/9/main" objectType="CheckBox" fmlaLink="X19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1187246</xdr:colOff>
      <xdr:row>2</xdr:row>
      <xdr:rowOff>6974</xdr:rowOff>
    </xdr:from>
    <xdr:to>
      <xdr:col>2</xdr:col>
      <xdr:colOff>1061</xdr:colOff>
      <xdr:row>9</xdr:row>
      <xdr:rowOff>3705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510268" y="487365"/>
          <a:ext cx="6510" cy="167810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</xdr:row>
          <xdr:rowOff>19050</xdr:rowOff>
        </xdr:from>
        <xdr:to>
          <xdr:col>5</xdr:col>
          <xdr:colOff>419100</xdr:colOff>
          <xdr:row>3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315829</xdr:colOff>
      <xdr:row>2</xdr:row>
      <xdr:rowOff>4146</xdr:rowOff>
    </xdr:from>
    <xdr:to>
      <xdr:col>1</xdr:col>
      <xdr:colOff>460</xdr:colOff>
      <xdr:row>9</xdr:row>
      <xdr:rowOff>879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315829" y="595353"/>
          <a:ext cx="6510" cy="206595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0</xdr:rowOff>
        </xdr:from>
        <xdr:to>
          <xdr:col>5</xdr:col>
          <xdr:colOff>428625</xdr:colOff>
          <xdr:row>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0</xdr:rowOff>
        </xdr:from>
        <xdr:to>
          <xdr:col>5</xdr:col>
          <xdr:colOff>428625</xdr:colOff>
          <xdr:row>5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0</xdr:rowOff>
        </xdr:from>
        <xdr:to>
          <xdr:col>5</xdr:col>
          <xdr:colOff>428625</xdr:colOff>
          <xdr:row>6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0</xdr:rowOff>
        </xdr:from>
        <xdr:to>
          <xdr:col>5</xdr:col>
          <xdr:colOff>428625</xdr:colOff>
          <xdr:row>7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0</xdr:rowOff>
        </xdr:from>
        <xdr:to>
          <xdr:col>5</xdr:col>
          <xdr:colOff>428625</xdr:colOff>
          <xdr:row>8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</xdr:row>
          <xdr:rowOff>9525</xdr:rowOff>
        </xdr:from>
        <xdr:to>
          <xdr:col>4</xdr:col>
          <xdr:colOff>428625</xdr:colOff>
          <xdr:row>3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0</xdr:rowOff>
        </xdr:from>
        <xdr:to>
          <xdr:col>4</xdr:col>
          <xdr:colOff>428625</xdr:colOff>
          <xdr:row>4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0</xdr:rowOff>
        </xdr:from>
        <xdr:to>
          <xdr:col>4</xdr:col>
          <xdr:colOff>428625</xdr:colOff>
          <xdr:row>5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0</xdr:rowOff>
        </xdr:from>
        <xdr:to>
          <xdr:col>4</xdr:col>
          <xdr:colOff>428625</xdr:colOff>
          <xdr:row>6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0</xdr:rowOff>
        </xdr:from>
        <xdr:to>
          <xdr:col>4</xdr:col>
          <xdr:colOff>428625</xdr:colOff>
          <xdr:row>7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0</xdr:rowOff>
        </xdr:from>
        <xdr:to>
          <xdr:col>4</xdr:col>
          <xdr:colOff>428625</xdr:colOff>
          <xdr:row>8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10</xdr:col>
      <xdr:colOff>214353</xdr:colOff>
      <xdr:row>33</xdr:row>
      <xdr:rowOff>56767</xdr:rowOff>
    </xdr:from>
    <xdr:to>
      <xdr:col>15</xdr:col>
      <xdr:colOff>330454</xdr:colOff>
      <xdr:row>43</xdr:row>
      <xdr:rowOff>6462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78" y="5712236"/>
          <a:ext cx="1961570" cy="2926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1187246</xdr:colOff>
      <xdr:row>2</xdr:row>
      <xdr:rowOff>6974</xdr:rowOff>
    </xdr:from>
    <xdr:to>
      <xdr:col>2</xdr:col>
      <xdr:colOff>1061</xdr:colOff>
      <xdr:row>9</xdr:row>
      <xdr:rowOff>3705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507286" y="586094"/>
          <a:ext cx="2535" cy="202365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</xdr:row>
          <xdr:rowOff>19050</xdr:rowOff>
        </xdr:from>
        <xdr:to>
          <xdr:col>5</xdr:col>
          <xdr:colOff>419100</xdr:colOff>
          <xdr:row>3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315829</xdr:colOff>
      <xdr:row>2</xdr:row>
      <xdr:rowOff>4146</xdr:rowOff>
    </xdr:from>
    <xdr:to>
      <xdr:col>1</xdr:col>
      <xdr:colOff>460</xdr:colOff>
      <xdr:row>9</xdr:row>
      <xdr:rowOff>879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315829" y="583266"/>
          <a:ext cx="4671" cy="202365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0</xdr:rowOff>
        </xdr:from>
        <xdr:to>
          <xdr:col>5</xdr:col>
          <xdr:colOff>428625</xdr:colOff>
          <xdr:row>4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0</xdr:rowOff>
        </xdr:from>
        <xdr:to>
          <xdr:col>5</xdr:col>
          <xdr:colOff>428625</xdr:colOff>
          <xdr:row>5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0</xdr:rowOff>
        </xdr:from>
        <xdr:to>
          <xdr:col>5</xdr:col>
          <xdr:colOff>428625</xdr:colOff>
          <xdr:row>6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0</xdr:rowOff>
        </xdr:from>
        <xdr:to>
          <xdr:col>5</xdr:col>
          <xdr:colOff>428625</xdr:colOff>
          <xdr:row>7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0</xdr:rowOff>
        </xdr:from>
        <xdr:to>
          <xdr:col>5</xdr:col>
          <xdr:colOff>428625</xdr:colOff>
          <xdr:row>8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</xdr:row>
          <xdr:rowOff>9525</xdr:rowOff>
        </xdr:from>
        <xdr:to>
          <xdr:col>4</xdr:col>
          <xdr:colOff>428625</xdr:colOff>
          <xdr:row>3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0</xdr:rowOff>
        </xdr:from>
        <xdr:to>
          <xdr:col>4</xdr:col>
          <xdr:colOff>428625</xdr:colOff>
          <xdr:row>4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0</xdr:rowOff>
        </xdr:from>
        <xdr:to>
          <xdr:col>4</xdr:col>
          <xdr:colOff>428625</xdr:colOff>
          <xdr:row>5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0</xdr:rowOff>
        </xdr:from>
        <xdr:to>
          <xdr:col>4</xdr:col>
          <xdr:colOff>428625</xdr:colOff>
          <xdr:row>6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0</xdr:rowOff>
        </xdr:from>
        <xdr:to>
          <xdr:col>4</xdr:col>
          <xdr:colOff>428625</xdr:colOff>
          <xdr:row>7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0</xdr:rowOff>
        </xdr:from>
        <xdr:to>
          <xdr:col>4</xdr:col>
          <xdr:colOff>428625</xdr:colOff>
          <xdr:row>8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10</xdr:col>
      <xdr:colOff>214353</xdr:colOff>
      <xdr:row>33</xdr:row>
      <xdr:rowOff>56767</xdr:rowOff>
    </xdr:from>
    <xdr:to>
      <xdr:col>15</xdr:col>
      <xdr:colOff>330454</xdr:colOff>
      <xdr:row>43</xdr:row>
      <xdr:rowOff>6462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1093" y="5847967"/>
          <a:ext cx="1983001" cy="284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I45"/>
  <sheetViews>
    <sheetView showGridLines="0" zoomScaleNormal="100" workbookViewId="0">
      <selection activeCell="I32" sqref="I32"/>
    </sheetView>
  </sheetViews>
  <sheetFormatPr defaultColWidth="9" defaultRowHeight="18.75"/>
  <cols>
    <col min="1" max="1" width="4.25" style="2" customWidth="1"/>
    <col min="2" max="4" width="15.625" style="2" customWidth="1"/>
    <col min="5" max="6" width="8.125" style="2" customWidth="1"/>
    <col min="7" max="7" width="15.625" style="2" customWidth="1"/>
    <col min="8" max="8" width="7.125" style="2" customWidth="1"/>
    <col min="9" max="9" width="5.125" style="2" customWidth="1"/>
    <col min="10" max="10" width="12.75" style="3" customWidth="1"/>
    <col min="11" max="24" width="4.875" style="2" customWidth="1"/>
    <col min="25" max="25" width="1.25" style="2" customWidth="1"/>
    <col min="26" max="26" width="9" style="2"/>
    <col min="27" max="35" width="9" style="8"/>
    <col min="36" max="16384" width="9" style="2"/>
  </cols>
  <sheetData>
    <row r="1" spans="1:26" ht="23.25" customHeight="1">
      <c r="A1" s="102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23.25" customHeight="1">
      <c r="A2" s="30"/>
      <c r="B2" s="89" t="s">
        <v>21</v>
      </c>
      <c r="C2" s="24"/>
      <c r="D2" s="24"/>
      <c r="E2" s="24"/>
      <c r="F2" s="24"/>
      <c r="G2" s="24"/>
      <c r="H2" s="24"/>
      <c r="I2" s="24"/>
      <c r="J2" s="86" t="s">
        <v>76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3.25" customHeight="1">
      <c r="A3" s="31"/>
      <c r="B3" s="21" t="s">
        <v>7</v>
      </c>
      <c r="C3" s="22" t="s">
        <v>6</v>
      </c>
      <c r="D3" s="22" t="s">
        <v>14</v>
      </c>
      <c r="E3" s="54" t="s">
        <v>18</v>
      </c>
      <c r="F3" s="54" t="s">
        <v>63</v>
      </c>
      <c r="G3" s="23" t="s">
        <v>47</v>
      </c>
      <c r="H3" s="23" t="s">
        <v>13</v>
      </c>
      <c r="I3" s="24"/>
      <c r="J3" s="87">
        <v>7</v>
      </c>
      <c r="K3" s="34" t="s">
        <v>46</v>
      </c>
      <c r="L3" s="35">
        <v>4</v>
      </c>
      <c r="M3" s="35">
        <v>5</v>
      </c>
      <c r="N3" s="35">
        <v>6</v>
      </c>
      <c r="O3" s="35">
        <v>7</v>
      </c>
      <c r="P3" s="35">
        <v>8</v>
      </c>
      <c r="Q3" s="35">
        <v>9</v>
      </c>
      <c r="R3" s="35">
        <v>10</v>
      </c>
      <c r="S3" s="35">
        <v>11</v>
      </c>
      <c r="T3" s="35">
        <v>12</v>
      </c>
      <c r="U3" s="35">
        <v>1</v>
      </c>
      <c r="V3" s="35">
        <v>2</v>
      </c>
      <c r="W3" s="35">
        <v>3</v>
      </c>
      <c r="X3" s="17" t="s">
        <v>12</v>
      </c>
      <c r="Y3" s="24"/>
      <c r="Z3" s="27" t="s">
        <v>15</v>
      </c>
    </row>
    <row r="4" spans="1:26" ht="23.25" customHeight="1">
      <c r="A4" s="31" t="s">
        <v>64</v>
      </c>
      <c r="B4" s="74" t="s">
        <v>69</v>
      </c>
      <c r="C4" s="75"/>
      <c r="D4" s="4" t="str">
        <f>IF(C4="","",IF(Z17=TRUE,IF((C4/100*30)-$C$12&lt;0,0,(C4/100*30)-$C$12),
IF(C4-$C$12&lt;0,0,C4-$C$12)))</f>
        <v/>
      </c>
      <c r="E4" s="78"/>
      <c r="F4" s="83"/>
      <c r="G4" s="79"/>
      <c r="H4" s="65" t="str">
        <f t="shared" ref="H4:H9" si="0">IFERROR(IF(G4="","",DATEDIF(G4,$K$16,"Y")),"-")</f>
        <v/>
      </c>
      <c r="I4" s="24"/>
      <c r="J4" s="5" t="str">
        <f>IF(B4=0,"",B4)</f>
        <v>世帯主</v>
      </c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9">
        <f>COUNTIF(L4:W4,1)+COUNTIF(L4:W4,3)</f>
        <v>0</v>
      </c>
      <c r="Y4" s="24"/>
      <c r="Z4" s="28" t="s">
        <v>16</v>
      </c>
    </row>
    <row r="5" spans="1:26" ht="23.25" customHeight="1">
      <c r="A5" s="31"/>
      <c r="B5" s="76" t="s">
        <v>70</v>
      </c>
      <c r="C5" s="75"/>
      <c r="D5" s="4" t="str">
        <f>IF(C5="","",IF(Z18=TRUE,IF((C5/100*30)-$C$12&lt;0,0,(C5/100*30)-$C$12),
IF(C5-$C$12&lt;0,0,C5-$C$12)))</f>
        <v/>
      </c>
      <c r="E5" s="78"/>
      <c r="F5" s="83"/>
      <c r="G5" s="79"/>
      <c r="H5" s="65" t="str">
        <f t="shared" si="0"/>
        <v/>
      </c>
      <c r="I5" s="24"/>
      <c r="J5" s="5" t="str">
        <f>IF(B5=0,"",B5)</f>
        <v>妻</v>
      </c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9">
        <f>COUNTIF(L5:W5,1)+COUNTIF(L5:W5,3)</f>
        <v>0</v>
      </c>
      <c r="Y5" s="24"/>
      <c r="Z5" s="28" t="s">
        <v>17</v>
      </c>
    </row>
    <row r="6" spans="1:26" ht="23.25" customHeight="1">
      <c r="A6" s="32"/>
      <c r="B6" s="76" t="s">
        <v>71</v>
      </c>
      <c r="C6" s="75"/>
      <c r="D6" s="4" t="str">
        <f>IF(C6="","",IF(Z19=TRUE,IF((C6/100*30)-$C$12&lt;0,0,(C6/100*30)-$C$12),
IF(C6-$C$12&lt;0,0,C6-$C$12)))</f>
        <v/>
      </c>
      <c r="E6" s="78"/>
      <c r="F6" s="83"/>
      <c r="G6" s="79"/>
      <c r="H6" s="65" t="str">
        <f t="shared" si="0"/>
        <v/>
      </c>
      <c r="I6" s="24"/>
      <c r="J6" s="5" t="str">
        <f>IF(B6=0,"",B6)</f>
        <v>子</v>
      </c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>
        <f t="shared" ref="X6:X9" si="1">COUNTIF(L6:W6,1)+COUNTIF(L6:W6,3)</f>
        <v>0</v>
      </c>
      <c r="Y6" s="24"/>
      <c r="Z6" s="28"/>
    </row>
    <row r="7" spans="1:26" ht="23.25" customHeight="1">
      <c r="A7" s="32"/>
      <c r="B7" s="77" t="s">
        <v>72</v>
      </c>
      <c r="C7" s="75"/>
      <c r="D7" s="4" t="str">
        <f t="shared" ref="D7:D9" si="2">IF(C7="","",IF(Z20=TRUE,IF((C7/100*30)-$C$12&lt;0,0,(C7/100*30)-$C$12),
IF(C7-$C$12&lt;0,0,C7-$C$12)))</f>
        <v/>
      </c>
      <c r="E7" s="78"/>
      <c r="F7" s="83"/>
      <c r="G7" s="79"/>
      <c r="H7" s="65" t="str">
        <f t="shared" si="0"/>
        <v/>
      </c>
      <c r="I7" s="24"/>
      <c r="J7" s="5" t="str">
        <f t="shared" ref="J7:J9" si="3">IF(B7=0,"",B7)</f>
        <v>子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>
        <f t="shared" si="1"/>
        <v>0</v>
      </c>
      <c r="Y7" s="24"/>
      <c r="Z7" s="28"/>
    </row>
    <row r="8" spans="1:26" ht="23.25" customHeight="1">
      <c r="A8" s="32"/>
      <c r="B8" s="77"/>
      <c r="C8" s="75"/>
      <c r="D8" s="4" t="str">
        <f t="shared" si="2"/>
        <v/>
      </c>
      <c r="E8" s="78"/>
      <c r="F8" s="83"/>
      <c r="G8" s="79"/>
      <c r="H8" s="65" t="str">
        <f t="shared" si="0"/>
        <v/>
      </c>
      <c r="I8" s="24"/>
      <c r="J8" s="5" t="str">
        <f t="shared" si="3"/>
        <v/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>
        <f t="shared" si="1"/>
        <v>0</v>
      </c>
      <c r="Y8" s="24"/>
      <c r="Z8" s="24"/>
    </row>
    <row r="9" spans="1:26" ht="23.25" customHeight="1">
      <c r="A9" s="32"/>
      <c r="B9" s="77"/>
      <c r="C9" s="75"/>
      <c r="D9" s="4" t="str">
        <f t="shared" si="2"/>
        <v/>
      </c>
      <c r="E9" s="78"/>
      <c r="F9" s="83"/>
      <c r="G9" s="79"/>
      <c r="H9" s="65" t="str">
        <f t="shared" si="0"/>
        <v/>
      </c>
      <c r="I9" s="24"/>
      <c r="J9" s="5" t="str">
        <f t="shared" si="3"/>
        <v/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>
        <f t="shared" si="1"/>
        <v>0</v>
      </c>
      <c r="Y9" s="24"/>
      <c r="Z9" s="24"/>
    </row>
    <row r="10" spans="1:26" ht="23.25" customHeight="1">
      <c r="A10" s="32"/>
      <c r="B10" s="32" t="s">
        <v>75</v>
      </c>
      <c r="C10" s="32"/>
      <c r="D10" s="32"/>
      <c r="E10" s="3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3.25" customHeight="1">
      <c r="A11" s="32"/>
      <c r="B11" s="15"/>
      <c r="C11" s="16" t="s">
        <v>38</v>
      </c>
      <c r="D11" s="15" t="s">
        <v>39</v>
      </c>
      <c r="E11" s="98" t="s">
        <v>40</v>
      </c>
      <c r="F11" s="99"/>
      <c r="G11" s="18" t="s">
        <v>41</v>
      </c>
      <c r="H11" s="24"/>
      <c r="I11" s="24"/>
      <c r="J11" s="15" t="s">
        <v>30</v>
      </c>
      <c r="K11" s="12">
        <f>IF(R11&lt;=N11,3,IF(AND(N11&lt;R11,R11&lt;=N12),5,IF(AND(N12&lt;R11,R11&lt;=N13),8,10)))</f>
        <v>3</v>
      </c>
      <c r="L11" s="107" t="s">
        <v>11</v>
      </c>
      <c r="M11" s="108"/>
      <c r="N11" s="105">
        <f>'国民健康保険税　試算シート'!$C$12+100000*(K12-1)</f>
        <v>430000</v>
      </c>
      <c r="O11" s="106"/>
      <c r="P11" s="107" t="s">
        <v>19</v>
      </c>
      <c r="Q11" s="108"/>
      <c r="R11" s="105">
        <f>SUMIFS($C4:$C9,K4:K9,"&gt;=1")</f>
        <v>0</v>
      </c>
      <c r="S11" s="106"/>
      <c r="T11" s="24"/>
      <c r="U11" s="24"/>
      <c r="V11" s="24"/>
      <c r="W11" s="24"/>
      <c r="X11" s="24"/>
      <c r="Y11" s="24"/>
      <c r="Z11" s="24"/>
    </row>
    <row r="12" spans="1:26" ht="23.25" customHeight="1">
      <c r="A12" s="32"/>
      <c r="B12" s="15" t="s">
        <v>24</v>
      </c>
      <c r="C12" s="10">
        <v>430000</v>
      </c>
      <c r="D12" s="11">
        <v>0.06</v>
      </c>
      <c r="E12" s="109">
        <v>2.7E-2</v>
      </c>
      <c r="F12" s="110"/>
      <c r="G12" s="11">
        <v>2.3E-2</v>
      </c>
      <c r="H12" s="24"/>
      <c r="I12" s="24"/>
      <c r="J12" s="15" t="s">
        <v>18</v>
      </c>
      <c r="K12" s="12">
        <f>IF(COUNTIF(X17:X22,"TRUE")=0,1,COUNTIF(X17:X22,"TRUE"))</f>
        <v>1</v>
      </c>
      <c r="L12" s="107" t="s">
        <v>9</v>
      </c>
      <c r="M12" s="108"/>
      <c r="N12" s="105">
        <f>'国民健康保険税　試算シート'!$C$12+(305000*(K13)+100000*(K12-1))</f>
        <v>430000</v>
      </c>
      <c r="O12" s="106"/>
      <c r="P12" s="107" t="s">
        <v>68</v>
      </c>
      <c r="Q12" s="108"/>
      <c r="R12" s="105">
        <f>IF(H4&lt;6,SUM(K18,L18),0)+IF(H5&lt;6,SUM(K19,L19),0)+IF(H6&lt;6,SUM(K20,L20),0)+IF(H7&lt;6,SUM(K21,L21),0)+IF(H8&lt;6,SUM(K22,L22),0)+IF(H9&lt;6,SUM(K23,L23),0)</f>
        <v>0</v>
      </c>
      <c r="S12" s="106"/>
      <c r="T12" s="45"/>
      <c r="U12" s="45"/>
      <c r="V12" s="45"/>
      <c r="W12" s="45"/>
      <c r="X12" s="29"/>
      <c r="Y12" s="24"/>
      <c r="Z12" s="24"/>
    </row>
    <row r="13" spans="1:26" ht="23.25" customHeight="1">
      <c r="A13" s="32"/>
      <c r="B13" s="19" t="s">
        <v>2</v>
      </c>
      <c r="C13" s="64" t="s">
        <v>4</v>
      </c>
      <c r="D13" s="10">
        <v>23000</v>
      </c>
      <c r="E13" s="94">
        <v>10000</v>
      </c>
      <c r="F13" s="95"/>
      <c r="G13" s="10">
        <v>10500</v>
      </c>
      <c r="H13" s="24"/>
      <c r="I13" s="24"/>
      <c r="J13" s="15" t="s">
        <v>20</v>
      </c>
      <c r="K13" s="12">
        <f>(COUNTIF(K4:K9,"3")+COUNTIF(K4:K9,"1")+COUNTIF(K4:K9,"32")+COUNTIF(K4:K9,"33"))</f>
        <v>0</v>
      </c>
      <c r="L13" s="103" t="s">
        <v>10</v>
      </c>
      <c r="M13" s="103"/>
      <c r="N13" s="104">
        <f>'国民健康保険税　試算シート'!$C$12+(560000*(K13)+100000*(K12-1))</f>
        <v>430000</v>
      </c>
      <c r="O13" s="104"/>
      <c r="P13" s="46"/>
      <c r="Q13" s="46"/>
      <c r="R13" s="46"/>
      <c r="S13" s="46"/>
      <c r="T13" s="46"/>
      <c r="U13" s="46"/>
      <c r="V13" s="46"/>
      <c r="W13" s="46"/>
      <c r="X13" s="29"/>
      <c r="Y13" s="24"/>
      <c r="Z13" s="24"/>
    </row>
    <row r="14" spans="1:26" ht="23.25" customHeight="1">
      <c r="A14" s="32"/>
      <c r="B14" s="15" t="s">
        <v>1</v>
      </c>
      <c r="C14" s="64" t="s">
        <v>5</v>
      </c>
      <c r="D14" s="10">
        <v>18500</v>
      </c>
      <c r="E14" s="94">
        <v>8000</v>
      </c>
      <c r="F14" s="95"/>
      <c r="G14" s="10">
        <v>6000</v>
      </c>
      <c r="H14" s="24"/>
      <c r="I14" s="24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46"/>
      <c r="U14" s="46"/>
      <c r="V14" s="46"/>
      <c r="W14" s="46"/>
      <c r="X14" s="29"/>
      <c r="Y14" s="24"/>
      <c r="Z14" s="24"/>
    </row>
    <row r="15" spans="1:26" ht="23.25" customHeight="1">
      <c r="A15" s="24"/>
      <c r="B15" s="15" t="s">
        <v>3</v>
      </c>
      <c r="C15" s="13"/>
      <c r="D15" s="10">
        <v>650000</v>
      </c>
      <c r="E15" s="94">
        <v>240000</v>
      </c>
      <c r="F15" s="95"/>
      <c r="G15" s="10">
        <v>170000</v>
      </c>
      <c r="H15" s="24"/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46"/>
      <c r="U15" s="46"/>
      <c r="V15" s="46"/>
      <c r="W15" s="46"/>
      <c r="X15" s="29"/>
      <c r="Y15" s="24"/>
      <c r="Z15" s="24"/>
    </row>
    <row r="16" spans="1:26" ht="23.25" customHeight="1">
      <c r="A16" s="24"/>
      <c r="B16" s="49"/>
      <c r="C16" s="30"/>
      <c r="D16" s="50"/>
      <c r="E16" s="50"/>
      <c r="F16" s="50"/>
      <c r="G16" s="50"/>
      <c r="H16" s="24"/>
      <c r="I16" s="24"/>
      <c r="J16" s="25"/>
      <c r="K16" s="36">
        <f>DATE(2018+$J$3,L3,1)</f>
        <v>45748</v>
      </c>
      <c r="L16" s="36">
        <f>DATE(2018+$J$3,L3,30)</f>
        <v>45777</v>
      </c>
      <c r="M16" s="36">
        <f>DATE(2018+$J$3,M3,31)</f>
        <v>45808</v>
      </c>
      <c r="N16" s="36">
        <f>DATE(2018+$J$3,N3,30)</f>
        <v>45838</v>
      </c>
      <c r="O16" s="36">
        <f>DATE(2018+$J$3,O3,31)</f>
        <v>45869</v>
      </c>
      <c r="P16" s="36">
        <f>DATE(2018+$J$3,P3,31)</f>
        <v>45900</v>
      </c>
      <c r="Q16" s="36">
        <f>DATE(2018+$J$3,Q3,30)</f>
        <v>45930</v>
      </c>
      <c r="R16" s="36">
        <f>DATE(2018+$J$3,R3,31)</f>
        <v>45961</v>
      </c>
      <c r="S16" s="36">
        <f>DATE(2018+$J$3,S3,30)</f>
        <v>45991</v>
      </c>
      <c r="T16" s="36">
        <f>DATE(2018+$J$3,T3,31)</f>
        <v>46022</v>
      </c>
      <c r="U16" s="36">
        <f>DATE(2019+$J$3,U3,31)</f>
        <v>46053</v>
      </c>
      <c r="V16" s="36">
        <f>DATE(2019+$J$3,V3,28)</f>
        <v>46081</v>
      </c>
      <c r="W16" s="36">
        <f>DATE(2019+$J$3,W3,31)</f>
        <v>46112</v>
      </c>
      <c r="X16" s="66" t="s">
        <v>66</v>
      </c>
      <c r="Y16" s="24"/>
      <c r="Z16" s="67" t="s">
        <v>67</v>
      </c>
    </row>
    <row r="17" spans="1:26" ht="23.25" hidden="1" customHeight="1">
      <c r="A17" s="24"/>
      <c r="B17" s="49"/>
      <c r="C17" s="30"/>
      <c r="D17" s="50"/>
      <c r="E17" s="50"/>
      <c r="F17" s="50"/>
      <c r="G17" s="50"/>
      <c r="H17" s="24"/>
      <c r="I17" s="24"/>
      <c r="J17" s="57"/>
      <c r="K17" s="57" t="s">
        <v>48</v>
      </c>
      <c r="L17" s="58" t="s">
        <v>55</v>
      </c>
      <c r="M17" s="42" t="s">
        <v>56</v>
      </c>
      <c r="N17" s="41" t="s">
        <v>57</v>
      </c>
      <c r="O17" s="44" t="s">
        <v>58</v>
      </c>
      <c r="P17" s="42" t="s">
        <v>59</v>
      </c>
      <c r="Q17" s="41" t="s">
        <v>60</v>
      </c>
      <c r="R17" s="44" t="s">
        <v>61</v>
      </c>
      <c r="S17" s="42" t="s">
        <v>62</v>
      </c>
      <c r="T17" s="12"/>
      <c r="U17" s="12"/>
      <c r="V17" s="12"/>
      <c r="W17" s="12"/>
      <c r="X17" s="68" t="b">
        <v>1</v>
      </c>
      <c r="Y17" s="69"/>
      <c r="Z17" s="70" t="b">
        <v>0</v>
      </c>
    </row>
    <row r="18" spans="1:26" ht="23.25" hidden="1" customHeight="1">
      <c r="A18" s="24"/>
      <c r="B18" s="51"/>
      <c r="C18" s="52"/>
      <c r="D18" s="32"/>
      <c r="E18" s="32"/>
      <c r="F18" s="24"/>
      <c r="G18" s="24"/>
      <c r="H18" s="24"/>
      <c r="I18" s="24"/>
      <c r="J18" s="57" t="s">
        <v>49</v>
      </c>
      <c r="K18" s="59">
        <f t="shared" ref="K18:K23" si="4">IF(H4&lt;6,(($D$13)/12*(X4)/10*$K$11)/2,($D$13)/12*(X4)/10*$K$11)</f>
        <v>0</v>
      </c>
      <c r="L18" s="60">
        <f t="shared" ref="L18:L23" si="5">IF(H4&lt;6,(($E$13)/12*(X4)/10*$K$11)/2,($E$13)/12*(X4)/10*$K$11)</f>
        <v>0</v>
      </c>
      <c r="M18" s="47">
        <f t="shared" ref="M18:M23" si="6">$G$13/12*K24/10*$K$11</f>
        <v>0</v>
      </c>
      <c r="N18" s="47" t="str">
        <f t="shared" ref="N18:N23" si="7">IFERROR(D4*$D$12/12*$X4,"0")</f>
        <v>0</v>
      </c>
      <c r="O18" s="48" t="str">
        <f t="shared" ref="O18:O23" si="8">IFERROR(D4*$E$12/12*X4,"0")</f>
        <v>0</v>
      </c>
      <c r="P18" s="47" t="str">
        <f t="shared" ref="P18:P23" si="9">IFERROR($G$12*D4/12*K24,"0")</f>
        <v>0</v>
      </c>
      <c r="Q18" s="39">
        <f>MAX(X4:X9)*D14/12/10*K11</f>
        <v>0</v>
      </c>
      <c r="R18" s="39">
        <f>MAX(X4:X9)*E14/12/10*K11</f>
        <v>0</v>
      </c>
      <c r="S18" s="39">
        <f>G14*MAX(K24:K29)/12/10*K11</f>
        <v>0</v>
      </c>
      <c r="T18" s="43"/>
      <c r="U18" s="43"/>
      <c r="V18" s="43"/>
      <c r="W18" s="43"/>
      <c r="X18" s="68" t="b">
        <v>0</v>
      </c>
      <c r="Y18" s="69"/>
      <c r="Z18" s="71" t="b">
        <v>0</v>
      </c>
    </row>
    <row r="19" spans="1:26" ht="23.25" hidden="1" customHeight="1">
      <c r="A19" s="24"/>
      <c r="B19" s="51"/>
      <c r="C19" s="52"/>
      <c r="D19" s="32"/>
      <c r="E19" s="32"/>
      <c r="F19" s="24"/>
      <c r="G19" s="24"/>
      <c r="H19" s="24"/>
      <c r="I19" s="24"/>
      <c r="J19" s="57" t="s">
        <v>50</v>
      </c>
      <c r="K19" s="59">
        <f t="shared" si="4"/>
        <v>0</v>
      </c>
      <c r="L19" s="60">
        <f t="shared" si="5"/>
        <v>0</v>
      </c>
      <c r="M19" s="47">
        <f t="shared" si="6"/>
        <v>0</v>
      </c>
      <c r="N19" s="47" t="str">
        <f t="shared" si="7"/>
        <v>0</v>
      </c>
      <c r="O19" s="48" t="str">
        <f t="shared" si="8"/>
        <v>0</v>
      </c>
      <c r="P19" s="47" t="str">
        <f t="shared" si="9"/>
        <v>0</v>
      </c>
      <c r="Q19" s="37"/>
      <c r="R19" s="37"/>
      <c r="S19" s="37"/>
      <c r="T19" s="37"/>
      <c r="U19" s="37"/>
      <c r="V19" s="37"/>
      <c r="W19" s="37"/>
      <c r="X19" s="68" t="b">
        <v>0</v>
      </c>
      <c r="Y19" s="69"/>
      <c r="Z19" s="71" t="b">
        <v>0</v>
      </c>
    </row>
    <row r="20" spans="1:26" ht="23.25" hidden="1" customHeight="1">
      <c r="A20" s="24"/>
      <c r="B20" s="51"/>
      <c r="C20" s="52"/>
      <c r="D20" s="32"/>
      <c r="E20" s="32"/>
      <c r="F20" s="24"/>
      <c r="G20" s="24"/>
      <c r="H20" s="24"/>
      <c r="I20" s="24"/>
      <c r="J20" s="57" t="s">
        <v>51</v>
      </c>
      <c r="K20" s="59">
        <f t="shared" si="4"/>
        <v>0</v>
      </c>
      <c r="L20" s="60">
        <f t="shared" si="5"/>
        <v>0</v>
      </c>
      <c r="M20" s="47">
        <f t="shared" si="6"/>
        <v>0</v>
      </c>
      <c r="N20" s="47" t="str">
        <f t="shared" si="7"/>
        <v>0</v>
      </c>
      <c r="O20" s="48" t="str">
        <f t="shared" si="8"/>
        <v>0</v>
      </c>
      <c r="P20" s="47" t="str">
        <f t="shared" si="9"/>
        <v>0</v>
      </c>
      <c r="Q20" s="37"/>
      <c r="R20" s="37"/>
      <c r="S20" s="37"/>
      <c r="T20" s="37"/>
      <c r="U20" s="37"/>
      <c r="V20" s="37"/>
      <c r="W20" s="37"/>
      <c r="X20" s="68" t="b">
        <v>0</v>
      </c>
      <c r="Y20" s="69"/>
      <c r="Z20" s="71" t="b">
        <v>0</v>
      </c>
    </row>
    <row r="21" spans="1:26" ht="23.25" hidden="1" customHeight="1">
      <c r="A21" s="24"/>
      <c r="B21" s="51"/>
      <c r="C21" s="52"/>
      <c r="D21" s="32"/>
      <c r="E21" s="32"/>
      <c r="F21" s="24"/>
      <c r="G21" s="24"/>
      <c r="H21" s="24"/>
      <c r="I21" s="24"/>
      <c r="J21" s="57" t="s">
        <v>52</v>
      </c>
      <c r="K21" s="59">
        <f t="shared" si="4"/>
        <v>0</v>
      </c>
      <c r="L21" s="60">
        <f t="shared" si="5"/>
        <v>0</v>
      </c>
      <c r="M21" s="47">
        <f t="shared" si="6"/>
        <v>0</v>
      </c>
      <c r="N21" s="47" t="str">
        <f t="shared" si="7"/>
        <v>0</v>
      </c>
      <c r="O21" s="48" t="str">
        <f t="shared" si="8"/>
        <v>0</v>
      </c>
      <c r="P21" s="47" t="str">
        <f t="shared" si="9"/>
        <v>0</v>
      </c>
      <c r="Q21" s="37"/>
      <c r="R21" s="37"/>
      <c r="S21" s="37"/>
      <c r="T21" s="37"/>
      <c r="U21" s="37"/>
      <c r="V21" s="37"/>
      <c r="W21" s="37"/>
      <c r="X21" s="68" t="b">
        <v>0</v>
      </c>
      <c r="Y21" s="69"/>
      <c r="Z21" s="71" t="b">
        <v>0</v>
      </c>
    </row>
    <row r="22" spans="1:26" ht="23.25" hidden="1" customHeight="1">
      <c r="A22" s="24"/>
      <c r="B22" s="51"/>
      <c r="C22" s="52"/>
      <c r="D22" s="32"/>
      <c r="E22" s="32"/>
      <c r="F22" s="24"/>
      <c r="G22" s="24"/>
      <c r="H22" s="24"/>
      <c r="I22" s="24"/>
      <c r="J22" s="57" t="s">
        <v>53</v>
      </c>
      <c r="K22" s="59">
        <f t="shared" si="4"/>
        <v>0</v>
      </c>
      <c r="L22" s="60">
        <f t="shared" si="5"/>
        <v>0</v>
      </c>
      <c r="M22" s="47">
        <f t="shared" si="6"/>
        <v>0</v>
      </c>
      <c r="N22" s="47" t="str">
        <f t="shared" si="7"/>
        <v>0</v>
      </c>
      <c r="O22" s="48" t="str">
        <f t="shared" si="8"/>
        <v>0</v>
      </c>
      <c r="P22" s="47" t="str">
        <f t="shared" si="9"/>
        <v>0</v>
      </c>
      <c r="Q22" s="37"/>
      <c r="R22" s="37"/>
      <c r="S22" s="37"/>
      <c r="T22" s="37"/>
      <c r="U22" s="37"/>
      <c r="V22" s="37"/>
      <c r="W22" s="37"/>
      <c r="X22" s="68" t="b">
        <v>0</v>
      </c>
      <c r="Y22" s="69"/>
      <c r="Z22" s="71" t="b">
        <v>0</v>
      </c>
    </row>
    <row r="23" spans="1:26" ht="23.25" hidden="1" customHeight="1">
      <c r="A23" s="32"/>
      <c r="B23" s="51"/>
      <c r="C23" s="52"/>
      <c r="D23" s="53"/>
      <c r="E23" s="53"/>
      <c r="F23" s="24"/>
      <c r="G23" s="24"/>
      <c r="H23" s="24"/>
      <c r="I23" s="24"/>
      <c r="J23" s="57" t="s">
        <v>54</v>
      </c>
      <c r="K23" s="59">
        <f t="shared" si="4"/>
        <v>0</v>
      </c>
      <c r="L23" s="60">
        <f t="shared" si="5"/>
        <v>0</v>
      </c>
      <c r="M23" s="47">
        <f t="shared" si="6"/>
        <v>0</v>
      </c>
      <c r="N23" s="47" t="str">
        <f t="shared" si="7"/>
        <v>0</v>
      </c>
      <c r="O23" s="48" t="str">
        <f t="shared" si="8"/>
        <v>0</v>
      </c>
      <c r="P23" s="47" t="str">
        <f t="shared" si="9"/>
        <v>0</v>
      </c>
      <c r="Q23" s="37"/>
      <c r="R23" s="37"/>
      <c r="S23" s="37"/>
      <c r="T23" s="37"/>
      <c r="U23" s="37"/>
      <c r="V23" s="37"/>
      <c r="W23" s="37"/>
      <c r="X23" s="38"/>
      <c r="Y23" s="24"/>
      <c r="Z23" s="26"/>
    </row>
    <row r="24" spans="1:26" ht="23.25" hidden="1" customHeight="1">
      <c r="A24" s="24"/>
      <c r="B24" s="24"/>
      <c r="C24" s="24"/>
      <c r="D24" s="24"/>
      <c r="E24" s="24"/>
      <c r="F24" s="24"/>
      <c r="G24" s="24"/>
      <c r="H24" s="24"/>
      <c r="I24" s="24"/>
      <c r="J24" s="57" t="s">
        <v>49</v>
      </c>
      <c r="K24" s="61">
        <f>COUNTIFS(L24:W24,"&gt;=40",L24:W24,"&lt;65")</f>
        <v>0</v>
      </c>
      <c r="L24" s="61" t="str">
        <f t="shared" ref="L24:L29" si="10">IF(L4=1,DATEDIF($G4,L$16,"Y"),IF(L4=3,DATEDIF($G4,L$16,"Y"),""))</f>
        <v/>
      </c>
      <c r="M24" s="40" t="str">
        <f t="shared" ref="M24:W24" si="11">IF(M$4=1,DATEDIF($G4,M$16,"Y"),IF(M$4=3,DATEDIF($G4,M$16,"Y"),""))</f>
        <v/>
      </c>
      <c r="N24" s="40" t="str">
        <f t="shared" si="11"/>
        <v/>
      </c>
      <c r="O24" s="40" t="str">
        <f t="shared" si="11"/>
        <v/>
      </c>
      <c r="P24" s="40" t="str">
        <f t="shared" si="11"/>
        <v/>
      </c>
      <c r="Q24" s="40" t="str">
        <f t="shared" si="11"/>
        <v/>
      </c>
      <c r="R24" s="40" t="str">
        <f t="shared" si="11"/>
        <v/>
      </c>
      <c r="S24" s="40" t="str">
        <f t="shared" si="11"/>
        <v/>
      </c>
      <c r="T24" s="40" t="str">
        <f t="shared" si="11"/>
        <v/>
      </c>
      <c r="U24" s="40" t="str">
        <f t="shared" si="11"/>
        <v/>
      </c>
      <c r="V24" s="40" t="str">
        <f t="shared" si="11"/>
        <v/>
      </c>
      <c r="W24" s="40" t="str">
        <f t="shared" si="11"/>
        <v/>
      </c>
      <c r="X24" s="29"/>
      <c r="Y24" s="24"/>
      <c r="Z24" s="26"/>
    </row>
    <row r="25" spans="1:26" ht="23.25" hidden="1" customHeight="1">
      <c r="A25" s="24"/>
      <c r="B25" s="24"/>
      <c r="C25" s="24"/>
      <c r="D25" s="24"/>
      <c r="E25" s="24"/>
      <c r="F25" s="24"/>
      <c r="G25" s="24"/>
      <c r="H25" s="24"/>
      <c r="I25" s="24"/>
      <c r="J25" s="57" t="s">
        <v>50</v>
      </c>
      <c r="K25" s="61">
        <f t="shared" ref="K25:K29" si="12">COUNTIFS(L25:W25,"&gt;=40",L25:W25,"&lt;65")</f>
        <v>0</v>
      </c>
      <c r="L25" s="61" t="str">
        <f t="shared" si="10"/>
        <v/>
      </c>
      <c r="M25" s="40" t="str">
        <f t="shared" ref="M25:W25" si="13">IF(M5=1,DATEDIF($G5,M$16,"Y"),IF(M5=3,DATEDIF($G5,M$16,"Y"),""))</f>
        <v/>
      </c>
      <c r="N25" s="40" t="str">
        <f t="shared" si="13"/>
        <v/>
      </c>
      <c r="O25" s="40" t="str">
        <f t="shared" si="13"/>
        <v/>
      </c>
      <c r="P25" s="40" t="str">
        <f t="shared" si="13"/>
        <v/>
      </c>
      <c r="Q25" s="40" t="str">
        <f t="shared" si="13"/>
        <v/>
      </c>
      <c r="R25" s="40" t="str">
        <f t="shared" si="13"/>
        <v/>
      </c>
      <c r="S25" s="40" t="str">
        <f t="shared" si="13"/>
        <v/>
      </c>
      <c r="T25" s="40" t="str">
        <f t="shared" si="13"/>
        <v/>
      </c>
      <c r="U25" s="40" t="str">
        <f t="shared" si="13"/>
        <v/>
      </c>
      <c r="V25" s="40" t="str">
        <f t="shared" si="13"/>
        <v/>
      </c>
      <c r="W25" s="40" t="str">
        <f t="shared" si="13"/>
        <v/>
      </c>
      <c r="X25" s="29"/>
      <c r="Y25" s="24"/>
      <c r="Z25" s="26"/>
    </row>
    <row r="26" spans="1:26" ht="23.25" hidden="1" customHeight="1">
      <c r="A26" s="24"/>
      <c r="B26" s="24"/>
      <c r="C26" s="24"/>
      <c r="D26" s="24"/>
      <c r="E26" s="24"/>
      <c r="F26" s="24"/>
      <c r="G26" s="24"/>
      <c r="H26" s="24"/>
      <c r="I26" s="24"/>
      <c r="J26" s="57" t="s">
        <v>51</v>
      </c>
      <c r="K26" s="61">
        <f t="shared" si="12"/>
        <v>0</v>
      </c>
      <c r="L26" s="61" t="str">
        <f t="shared" si="10"/>
        <v/>
      </c>
      <c r="M26" s="40" t="str">
        <f t="shared" ref="M26:W26" si="14">IF(M6=1,DATEDIF($G6,M$16,"Y"),IF(M6=3,DATEDIF($G6,M$16,"Y"),""))</f>
        <v/>
      </c>
      <c r="N26" s="40" t="str">
        <f t="shared" si="14"/>
        <v/>
      </c>
      <c r="O26" s="40" t="str">
        <f t="shared" si="14"/>
        <v/>
      </c>
      <c r="P26" s="40" t="str">
        <f t="shared" si="14"/>
        <v/>
      </c>
      <c r="Q26" s="40" t="str">
        <f t="shared" si="14"/>
        <v/>
      </c>
      <c r="R26" s="40" t="str">
        <f t="shared" si="14"/>
        <v/>
      </c>
      <c r="S26" s="40" t="str">
        <f t="shared" si="14"/>
        <v/>
      </c>
      <c r="T26" s="40" t="str">
        <f t="shared" si="14"/>
        <v/>
      </c>
      <c r="U26" s="40" t="str">
        <f t="shared" si="14"/>
        <v/>
      </c>
      <c r="V26" s="40" t="str">
        <f t="shared" si="14"/>
        <v/>
      </c>
      <c r="W26" s="40" t="str">
        <f t="shared" si="14"/>
        <v/>
      </c>
      <c r="X26" s="29"/>
      <c r="Y26" s="24"/>
      <c r="Z26" s="26"/>
    </row>
    <row r="27" spans="1:26" ht="23.25" hidden="1" customHeight="1">
      <c r="A27" s="24"/>
      <c r="B27" s="24"/>
      <c r="C27" s="24"/>
      <c r="D27" s="24"/>
      <c r="E27" s="24"/>
      <c r="F27" s="24"/>
      <c r="G27" s="24"/>
      <c r="H27" s="24"/>
      <c r="I27" s="24"/>
      <c r="J27" s="57" t="s">
        <v>52</v>
      </c>
      <c r="K27" s="61">
        <f t="shared" si="12"/>
        <v>0</v>
      </c>
      <c r="L27" s="61" t="str">
        <f t="shared" si="10"/>
        <v/>
      </c>
      <c r="M27" s="40" t="str">
        <f t="shared" ref="M27:W27" si="15">IF(M7=1,DATEDIF($G7,M$16,"Y"),IF(M7=3,DATEDIF($G7,M$16,"Y"),""))</f>
        <v/>
      </c>
      <c r="N27" s="40" t="str">
        <f t="shared" si="15"/>
        <v/>
      </c>
      <c r="O27" s="40" t="str">
        <f t="shared" si="15"/>
        <v/>
      </c>
      <c r="P27" s="40" t="str">
        <f t="shared" si="15"/>
        <v/>
      </c>
      <c r="Q27" s="40" t="str">
        <f t="shared" si="15"/>
        <v/>
      </c>
      <c r="R27" s="40" t="str">
        <f>IF(R7=1,DATEDIF($G7,R$16,"Y"),IF(R7=3,DATEDIF($G7,R$16,"Y"),""))</f>
        <v/>
      </c>
      <c r="S27" s="40" t="str">
        <f t="shared" si="15"/>
        <v/>
      </c>
      <c r="T27" s="40" t="str">
        <f t="shared" si="15"/>
        <v/>
      </c>
      <c r="U27" s="40" t="str">
        <f t="shared" si="15"/>
        <v/>
      </c>
      <c r="V27" s="40" t="str">
        <f t="shared" si="15"/>
        <v/>
      </c>
      <c r="W27" s="40" t="str">
        <f t="shared" si="15"/>
        <v/>
      </c>
      <c r="X27" s="29"/>
      <c r="Y27" s="24"/>
      <c r="Z27" s="26"/>
    </row>
    <row r="28" spans="1:26" ht="23.25" hidden="1" customHeight="1">
      <c r="A28" s="24"/>
      <c r="B28" s="24"/>
      <c r="C28" s="24"/>
      <c r="D28" s="24"/>
      <c r="E28" s="24"/>
      <c r="F28" s="24"/>
      <c r="G28" s="24"/>
      <c r="H28" s="24"/>
      <c r="I28" s="24"/>
      <c r="J28" s="57" t="s">
        <v>53</v>
      </c>
      <c r="K28" s="61">
        <f t="shared" si="12"/>
        <v>0</v>
      </c>
      <c r="L28" s="61" t="str">
        <f t="shared" si="10"/>
        <v/>
      </c>
      <c r="M28" s="40" t="str">
        <f t="shared" ref="M28:W28" si="16">IF(M8=1,DATEDIF($G8,M$16,"Y"),IF(M8=3,DATEDIF($G8,M$16,"Y"),""))</f>
        <v/>
      </c>
      <c r="N28" s="40" t="str">
        <f t="shared" si="16"/>
        <v/>
      </c>
      <c r="O28" s="40" t="str">
        <f t="shared" si="16"/>
        <v/>
      </c>
      <c r="P28" s="40" t="str">
        <f t="shared" si="16"/>
        <v/>
      </c>
      <c r="Q28" s="40" t="str">
        <f t="shared" si="16"/>
        <v/>
      </c>
      <c r="R28" s="40" t="str">
        <f t="shared" si="16"/>
        <v/>
      </c>
      <c r="S28" s="40" t="str">
        <f t="shared" si="16"/>
        <v/>
      </c>
      <c r="T28" s="40" t="str">
        <f t="shared" si="16"/>
        <v/>
      </c>
      <c r="U28" s="40" t="str">
        <f t="shared" si="16"/>
        <v/>
      </c>
      <c r="V28" s="40" t="str">
        <f t="shared" si="16"/>
        <v/>
      </c>
      <c r="W28" s="40" t="str">
        <f t="shared" si="16"/>
        <v/>
      </c>
      <c r="X28" s="29"/>
      <c r="Y28" s="24"/>
      <c r="Z28" s="26"/>
    </row>
    <row r="29" spans="1:26" ht="23.25" hidden="1" customHeight="1">
      <c r="A29" s="24"/>
      <c r="B29" s="24"/>
      <c r="C29" s="24"/>
      <c r="D29" s="24"/>
      <c r="E29" s="24"/>
      <c r="F29" s="24"/>
      <c r="G29" s="24"/>
      <c r="H29" s="24"/>
      <c r="I29" s="24"/>
      <c r="J29" s="57" t="s">
        <v>54</v>
      </c>
      <c r="K29" s="61">
        <f t="shared" si="12"/>
        <v>0</v>
      </c>
      <c r="L29" s="61" t="str">
        <f t="shared" si="10"/>
        <v/>
      </c>
      <c r="M29" s="40" t="str">
        <f t="shared" ref="M29:W29" si="17">IF(M9=1,DATEDIF($G9,M$16,"Y"),IF(M9=3,DATEDIF($G9,M$16,"Y"),""))</f>
        <v/>
      </c>
      <c r="N29" s="40" t="str">
        <f t="shared" si="17"/>
        <v/>
      </c>
      <c r="O29" s="40" t="str">
        <f t="shared" si="17"/>
        <v/>
      </c>
      <c r="P29" s="40" t="str">
        <f t="shared" si="17"/>
        <v/>
      </c>
      <c r="Q29" s="40" t="str">
        <f t="shared" si="17"/>
        <v/>
      </c>
      <c r="R29" s="40" t="str">
        <f t="shared" si="17"/>
        <v/>
      </c>
      <c r="S29" s="40" t="str">
        <f t="shared" si="17"/>
        <v/>
      </c>
      <c r="T29" s="40" t="str">
        <f t="shared" si="17"/>
        <v/>
      </c>
      <c r="U29" s="40" t="str">
        <f t="shared" si="17"/>
        <v/>
      </c>
      <c r="V29" s="40" t="str">
        <f t="shared" si="17"/>
        <v/>
      </c>
      <c r="W29" s="40" t="str">
        <f t="shared" si="17"/>
        <v/>
      </c>
      <c r="X29" s="29"/>
      <c r="Y29" s="24"/>
      <c r="Z29" s="26"/>
    </row>
    <row r="30" spans="1:26" ht="23.25" customHeight="1">
      <c r="A30" s="24"/>
      <c r="B30" s="24"/>
      <c r="C30" s="24"/>
      <c r="D30" s="24"/>
      <c r="E30" s="24"/>
      <c r="F30" s="24"/>
      <c r="G30" s="24"/>
      <c r="H30" s="24"/>
      <c r="I30" s="24"/>
      <c r="J30" s="73"/>
      <c r="K30" s="82" t="s">
        <v>37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4"/>
      <c r="Y30" s="24"/>
      <c r="Z30" s="26"/>
    </row>
    <row r="31" spans="1:26" ht="23.25" customHeight="1">
      <c r="A31" s="24"/>
      <c r="B31" s="15" t="s">
        <v>27</v>
      </c>
      <c r="C31" s="16" t="s">
        <v>31</v>
      </c>
      <c r="D31" s="15" t="s">
        <v>42</v>
      </c>
      <c r="E31" s="98" t="s">
        <v>32</v>
      </c>
      <c r="F31" s="99"/>
      <c r="G31" s="18" t="s">
        <v>29</v>
      </c>
      <c r="H31" s="24"/>
      <c r="I31" s="24"/>
      <c r="J31" s="25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6"/>
    </row>
    <row r="32" spans="1:26" ht="23.25" customHeight="1">
      <c r="A32" s="24"/>
      <c r="B32" s="19" t="s">
        <v>0</v>
      </c>
      <c r="C32" s="6">
        <f>SUM(N18:P23)</f>
        <v>0</v>
      </c>
      <c r="D32" s="16" t="s">
        <v>43</v>
      </c>
      <c r="E32" s="96">
        <f>IF(SUM(N18:N23,K18:K23,Q18)&gt;D15,D15,(SUM(K18:K23,N18:N23,Q18)))</f>
        <v>0</v>
      </c>
      <c r="F32" s="97"/>
      <c r="G32" s="14">
        <f>E32-ROUNDDOWN(E32,-2)</f>
        <v>0</v>
      </c>
      <c r="H32" s="24"/>
      <c r="I32" s="24"/>
      <c r="J32" s="63"/>
      <c r="K32" s="62"/>
      <c r="L32" s="6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6"/>
    </row>
    <row r="33" spans="1:26" ht="23.25" customHeight="1">
      <c r="A33" s="24"/>
      <c r="B33" s="15" t="s">
        <v>2</v>
      </c>
      <c r="C33" s="6">
        <f>SUM(K18:M23)</f>
        <v>0</v>
      </c>
      <c r="D33" s="20" t="s">
        <v>44</v>
      </c>
      <c r="E33" s="96">
        <f>IF(SUM(L18:L23,O18:O23,R18)&gt;E15,E15,SUM(L18:L23,O18:O23,R18))</f>
        <v>0</v>
      </c>
      <c r="F33" s="97"/>
      <c r="G33" s="14">
        <f>E33-ROUNDDOWN(E33,-2)</f>
        <v>0</v>
      </c>
      <c r="H33" s="24"/>
      <c r="I33" s="24"/>
      <c r="J33" s="25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6"/>
    </row>
    <row r="34" spans="1:26" ht="23.25" customHeight="1">
      <c r="A34" s="24"/>
      <c r="B34" s="15" t="s">
        <v>1</v>
      </c>
      <c r="C34" s="6">
        <f>SUM(Q18:S18)</f>
        <v>0</v>
      </c>
      <c r="D34" s="20" t="s">
        <v>45</v>
      </c>
      <c r="E34" s="96">
        <f>IF(SUM(M18:M23,P18:P23,S18)&gt;G15,G15,SUM(M18:M23,P18:P23,S18))</f>
        <v>0</v>
      </c>
      <c r="F34" s="97"/>
      <c r="G34" s="14">
        <f>E34-ROUNDDOWN(E34,-2)</f>
        <v>0</v>
      </c>
      <c r="H34" s="24"/>
      <c r="I34" s="24"/>
      <c r="J34" s="25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6"/>
    </row>
    <row r="35" spans="1:26" ht="23.25" customHeight="1">
      <c r="A35" s="24"/>
      <c r="B35" s="15" t="s">
        <v>8</v>
      </c>
      <c r="C35" s="6">
        <f>SUM(C32:C34)</f>
        <v>0</v>
      </c>
      <c r="D35" s="20" t="s">
        <v>28</v>
      </c>
      <c r="E35" s="96">
        <f>SUM(E32:E34)</f>
        <v>0</v>
      </c>
      <c r="F35" s="97"/>
      <c r="G35" s="7">
        <f>E35-G32-G33-G34</f>
        <v>0</v>
      </c>
      <c r="H35" s="24"/>
      <c r="I35" s="15" t="s">
        <v>25</v>
      </c>
      <c r="J35" s="15" t="s">
        <v>26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6"/>
    </row>
    <row r="36" spans="1:26" ht="23.25" customHeight="1">
      <c r="A36" s="24"/>
      <c r="B36" s="24"/>
      <c r="C36" s="24"/>
      <c r="D36" s="33"/>
      <c r="E36" s="33"/>
      <c r="F36" s="24"/>
      <c r="G36" s="24"/>
      <c r="H36" s="24"/>
      <c r="I36" s="1">
        <v>1</v>
      </c>
      <c r="J36" s="85">
        <f>G35-SUM(J37:J43)</f>
        <v>0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6"/>
    </row>
    <row r="37" spans="1:26" ht="23.25" customHeight="1">
      <c r="A37" s="24"/>
      <c r="B37" s="15" t="s">
        <v>23</v>
      </c>
      <c r="C37" s="16" t="s">
        <v>35</v>
      </c>
      <c r="D37" s="17" t="s">
        <v>36</v>
      </c>
      <c r="E37" s="98" t="s">
        <v>33</v>
      </c>
      <c r="F37" s="99"/>
      <c r="G37" s="16" t="s">
        <v>34</v>
      </c>
      <c r="H37" s="24"/>
      <c r="I37" s="1">
        <v>2</v>
      </c>
      <c r="J37" s="85">
        <f>ROUND($G$35/8,-3)</f>
        <v>0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6"/>
    </row>
    <row r="38" spans="1:26" ht="23.25" customHeight="1">
      <c r="A38" s="24"/>
      <c r="B38" s="1" t="str">
        <f t="shared" ref="B38:B43" si="18">IF(B4="","",B4)</f>
        <v>世帯主</v>
      </c>
      <c r="C38" s="6">
        <f t="shared" ref="C38:C43" si="19">IF(B38="","",SUM(N18:P18))</f>
        <v>0</v>
      </c>
      <c r="D38" s="14">
        <f t="shared" ref="D38:D43" si="20">IF(B38="","",SUM(K18:M18))</f>
        <v>0</v>
      </c>
      <c r="E38" s="100" t="e">
        <f t="shared" ref="E38:E43" si="21">IF(B38="","",(C38+D38)/SUM($C$32:$C$33)*$C$34)</f>
        <v>#DIV/0!</v>
      </c>
      <c r="F38" s="101"/>
      <c r="G38" s="6" t="e">
        <f t="shared" ref="G38:G43" si="22">IF(B38="","",SUM(C38:E38)/C$35*G$35)</f>
        <v>#DIV/0!</v>
      </c>
      <c r="H38" s="24"/>
      <c r="I38" s="1">
        <v>3</v>
      </c>
      <c r="J38" s="85">
        <f t="shared" ref="J38:J42" si="23">ROUND($G$35/8,-3)</f>
        <v>0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6"/>
    </row>
    <row r="39" spans="1:26" ht="23.25" customHeight="1">
      <c r="A39" s="24"/>
      <c r="B39" s="1" t="str">
        <f t="shared" si="18"/>
        <v>妻</v>
      </c>
      <c r="C39" s="6">
        <f t="shared" si="19"/>
        <v>0</v>
      </c>
      <c r="D39" s="14">
        <f t="shared" si="20"/>
        <v>0</v>
      </c>
      <c r="E39" s="100" t="e">
        <f t="shared" si="21"/>
        <v>#DIV/0!</v>
      </c>
      <c r="F39" s="101"/>
      <c r="G39" s="6" t="e">
        <f t="shared" si="22"/>
        <v>#DIV/0!</v>
      </c>
      <c r="H39" s="24"/>
      <c r="I39" s="1">
        <v>4</v>
      </c>
      <c r="J39" s="85">
        <f t="shared" si="23"/>
        <v>0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6"/>
    </row>
    <row r="40" spans="1:26" ht="23.25" customHeight="1">
      <c r="A40" s="24"/>
      <c r="B40" s="1" t="str">
        <f t="shared" si="18"/>
        <v>子</v>
      </c>
      <c r="C40" s="6">
        <f t="shared" si="19"/>
        <v>0</v>
      </c>
      <c r="D40" s="14">
        <f t="shared" si="20"/>
        <v>0</v>
      </c>
      <c r="E40" s="100" t="e">
        <f t="shared" si="21"/>
        <v>#DIV/0!</v>
      </c>
      <c r="F40" s="101"/>
      <c r="G40" s="6" t="e">
        <f t="shared" si="22"/>
        <v>#DIV/0!</v>
      </c>
      <c r="H40" s="24"/>
      <c r="I40" s="1">
        <v>5</v>
      </c>
      <c r="J40" s="85">
        <f t="shared" si="23"/>
        <v>0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9"/>
    </row>
    <row r="41" spans="1:26" ht="23.25" customHeight="1">
      <c r="A41" s="24"/>
      <c r="B41" s="1" t="str">
        <f t="shared" si="18"/>
        <v>子</v>
      </c>
      <c r="C41" s="6">
        <f t="shared" si="19"/>
        <v>0</v>
      </c>
      <c r="D41" s="14">
        <f>IF(B41="","",SUM(K21:M21))</f>
        <v>0</v>
      </c>
      <c r="E41" s="100" t="e">
        <f t="shared" si="21"/>
        <v>#DIV/0!</v>
      </c>
      <c r="F41" s="101"/>
      <c r="G41" s="6" t="e">
        <f t="shared" si="22"/>
        <v>#DIV/0!</v>
      </c>
      <c r="H41" s="24"/>
      <c r="I41" s="1">
        <v>6</v>
      </c>
      <c r="J41" s="85">
        <f t="shared" si="23"/>
        <v>0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3.25" customHeight="1">
      <c r="A42" s="24"/>
      <c r="B42" s="1" t="str">
        <f t="shared" si="18"/>
        <v/>
      </c>
      <c r="C42" s="6" t="str">
        <f t="shared" si="19"/>
        <v/>
      </c>
      <c r="D42" s="14" t="str">
        <f t="shared" si="20"/>
        <v/>
      </c>
      <c r="E42" s="100" t="str">
        <f t="shared" si="21"/>
        <v/>
      </c>
      <c r="F42" s="101"/>
      <c r="G42" s="6" t="str">
        <f t="shared" si="22"/>
        <v/>
      </c>
      <c r="H42" s="24"/>
      <c r="I42" s="1">
        <v>7</v>
      </c>
      <c r="J42" s="85">
        <f t="shared" si="23"/>
        <v>0</v>
      </c>
      <c r="K42" s="24"/>
      <c r="L42" s="55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3.25" customHeight="1">
      <c r="A43" s="24"/>
      <c r="B43" s="1" t="str">
        <f t="shared" si="18"/>
        <v/>
      </c>
      <c r="C43" s="6" t="str">
        <f t="shared" si="19"/>
        <v/>
      </c>
      <c r="D43" s="14" t="str">
        <f t="shared" si="20"/>
        <v/>
      </c>
      <c r="E43" s="100" t="str">
        <f t="shared" si="21"/>
        <v/>
      </c>
      <c r="F43" s="101"/>
      <c r="G43" s="6" t="str">
        <f t="shared" si="22"/>
        <v/>
      </c>
      <c r="H43" s="24"/>
      <c r="I43" s="1">
        <v>8</v>
      </c>
      <c r="J43" s="85">
        <f>ROUND($G$35/8,-3)</f>
        <v>0</v>
      </c>
      <c r="K43" s="24"/>
      <c r="L43" s="56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3.25" customHeight="1">
      <c r="A44" s="24"/>
      <c r="B44" s="1" t="s">
        <v>28</v>
      </c>
      <c r="C44" s="6">
        <f>SUM(C38:C43)</f>
        <v>0</v>
      </c>
      <c r="D44" s="6">
        <f>SUM(D38:D43)</f>
        <v>0</v>
      </c>
      <c r="E44" s="96" t="e">
        <f>SUM(E38:E43)</f>
        <v>#DIV/0!</v>
      </c>
      <c r="F44" s="97"/>
      <c r="G44" s="7" t="e">
        <f>ROUNDDOWN(SUM(G38:G43),0)</f>
        <v>#DIV/0!</v>
      </c>
      <c r="H44" s="24"/>
      <c r="I44" s="1" t="s">
        <v>22</v>
      </c>
      <c r="J44" s="84">
        <f>SUM(J36:J43)</f>
        <v>0</v>
      </c>
      <c r="K44" s="82" t="s">
        <v>73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3.25" customHeight="1">
      <c r="A45" s="24"/>
      <c r="B45" s="24"/>
      <c r="C45" s="24"/>
      <c r="D45" s="24"/>
      <c r="E45" s="24"/>
      <c r="F45" s="24"/>
      <c r="G45" s="24"/>
      <c r="H45" s="24"/>
      <c r="I45" s="81" t="s">
        <v>74</v>
      </c>
      <c r="J45" s="25"/>
      <c r="K45" s="72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</sheetData>
  <mergeCells count="29">
    <mergeCell ref="A1:Z1"/>
    <mergeCell ref="L13:M13"/>
    <mergeCell ref="N13:O13"/>
    <mergeCell ref="N12:O12"/>
    <mergeCell ref="P11:Q11"/>
    <mergeCell ref="N11:O11"/>
    <mergeCell ref="R11:S11"/>
    <mergeCell ref="E11:F11"/>
    <mergeCell ref="E12:F12"/>
    <mergeCell ref="E13:F13"/>
    <mergeCell ref="L11:M11"/>
    <mergeCell ref="L12:M12"/>
    <mergeCell ref="P12:Q12"/>
    <mergeCell ref="R12:S12"/>
    <mergeCell ref="E14:F14"/>
    <mergeCell ref="E15:F15"/>
    <mergeCell ref="E44:F44"/>
    <mergeCell ref="E35:F35"/>
    <mergeCell ref="E31:F31"/>
    <mergeCell ref="E37:F37"/>
    <mergeCell ref="E38:F38"/>
    <mergeCell ref="E39:F39"/>
    <mergeCell ref="E32:F32"/>
    <mergeCell ref="E33:F33"/>
    <mergeCell ref="E34:F34"/>
    <mergeCell ref="E40:F40"/>
    <mergeCell ref="E41:F41"/>
    <mergeCell ref="E42:F42"/>
    <mergeCell ref="E43:F43"/>
  </mergeCells>
  <phoneticPr fontId="2"/>
  <pageMargins left="0.51181102362204722" right="0.51181102362204722" top="0.74803149606299213" bottom="0.74803149606299213" header="0.31496062992125984" footer="0.31496062992125984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5</xdr:col>
                    <xdr:colOff>200025</xdr:colOff>
                    <xdr:row>3</xdr:row>
                    <xdr:rowOff>19050</xdr:rowOff>
                  </from>
                  <to>
                    <xdr:col>5</xdr:col>
                    <xdr:colOff>419100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0</xdr:rowOff>
                  </from>
                  <to>
                    <xdr:col>5</xdr:col>
                    <xdr:colOff>428625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0</xdr:rowOff>
                  </from>
                  <to>
                    <xdr:col>5</xdr:col>
                    <xdr:colOff>428625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0</xdr:rowOff>
                  </from>
                  <to>
                    <xdr:col>5</xdr:col>
                    <xdr:colOff>428625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0</xdr:rowOff>
                  </from>
                  <to>
                    <xdr:col>5</xdr:col>
                    <xdr:colOff>428625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0</xdr:rowOff>
                  </from>
                  <to>
                    <xdr:col>5</xdr:col>
                    <xdr:colOff>428625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3</xdr:row>
                    <xdr:rowOff>9525</xdr:rowOff>
                  </from>
                  <to>
                    <xdr:col>4</xdr:col>
                    <xdr:colOff>428625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0</xdr:rowOff>
                  </from>
                  <to>
                    <xdr:col>4</xdr:col>
                    <xdr:colOff>428625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0</xdr:rowOff>
                  </from>
                  <to>
                    <xdr:col>4</xdr:col>
                    <xdr:colOff>428625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0</xdr:rowOff>
                  </from>
                  <to>
                    <xdr:col>4</xdr:col>
                    <xdr:colOff>428625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0</xdr:rowOff>
                  </from>
                  <to>
                    <xdr:col>4</xdr:col>
                    <xdr:colOff>428625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0</xdr:rowOff>
                  </from>
                  <to>
                    <xdr:col>4</xdr:col>
                    <xdr:colOff>428625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45"/>
  <sheetViews>
    <sheetView showGridLines="0" tabSelected="1" zoomScaleNormal="100" workbookViewId="0">
      <selection activeCell="N14" sqref="N14"/>
    </sheetView>
  </sheetViews>
  <sheetFormatPr defaultColWidth="9" defaultRowHeight="18.75"/>
  <cols>
    <col min="1" max="1" width="4.25" style="2" customWidth="1"/>
    <col min="2" max="4" width="15.625" style="2" customWidth="1"/>
    <col min="5" max="6" width="8.125" style="2" customWidth="1"/>
    <col min="7" max="7" width="15.625" style="2" customWidth="1"/>
    <col min="8" max="8" width="7.125" style="2" customWidth="1"/>
    <col min="9" max="9" width="5.125" style="2" customWidth="1"/>
    <col min="10" max="10" width="12.75" style="3" customWidth="1"/>
    <col min="11" max="24" width="4.875" style="2" customWidth="1"/>
    <col min="25" max="25" width="1.25" style="2" customWidth="1"/>
    <col min="26" max="26" width="9" style="2"/>
    <col min="27" max="35" width="9" style="8"/>
    <col min="36" max="16384" width="9" style="2"/>
  </cols>
  <sheetData>
    <row r="1" spans="1:26" ht="23.25" customHeight="1">
      <c r="A1" s="102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23.25" customHeight="1">
      <c r="A2" s="30"/>
      <c r="B2" s="89" t="s">
        <v>21</v>
      </c>
      <c r="C2" s="24"/>
      <c r="D2" s="24"/>
      <c r="E2" s="24"/>
      <c r="F2" s="24"/>
      <c r="G2" s="24"/>
      <c r="H2" s="24"/>
      <c r="I2" s="24"/>
      <c r="J2" s="86" t="s">
        <v>76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3.25" customHeight="1">
      <c r="A3" s="31"/>
      <c r="B3" s="21" t="s">
        <v>7</v>
      </c>
      <c r="C3" s="22" t="s">
        <v>6</v>
      </c>
      <c r="D3" s="22" t="s">
        <v>14</v>
      </c>
      <c r="E3" s="54" t="s">
        <v>18</v>
      </c>
      <c r="F3" s="54" t="s">
        <v>63</v>
      </c>
      <c r="G3" s="23" t="s">
        <v>47</v>
      </c>
      <c r="H3" s="23" t="s">
        <v>13</v>
      </c>
      <c r="I3" s="24"/>
      <c r="J3" s="87">
        <v>7</v>
      </c>
      <c r="K3" s="34" t="s">
        <v>46</v>
      </c>
      <c r="L3" s="35">
        <v>4</v>
      </c>
      <c r="M3" s="35">
        <v>5</v>
      </c>
      <c r="N3" s="35">
        <v>6</v>
      </c>
      <c r="O3" s="35">
        <v>7</v>
      </c>
      <c r="P3" s="35">
        <v>8</v>
      </c>
      <c r="Q3" s="35">
        <v>9</v>
      </c>
      <c r="R3" s="35">
        <v>10</v>
      </c>
      <c r="S3" s="35">
        <v>11</v>
      </c>
      <c r="T3" s="35">
        <v>12</v>
      </c>
      <c r="U3" s="35">
        <v>1</v>
      </c>
      <c r="V3" s="35">
        <v>2</v>
      </c>
      <c r="W3" s="35">
        <v>3</v>
      </c>
      <c r="X3" s="17" t="s">
        <v>12</v>
      </c>
      <c r="Y3" s="24"/>
      <c r="Z3" s="27" t="s">
        <v>15</v>
      </c>
    </row>
    <row r="4" spans="1:26" ht="23.25" customHeight="1">
      <c r="A4" s="31" t="s">
        <v>64</v>
      </c>
      <c r="B4" s="74" t="s">
        <v>69</v>
      </c>
      <c r="C4" s="90">
        <v>3000000</v>
      </c>
      <c r="D4" s="4">
        <f>IF(C4="","",IF(Z17=TRUE,IF((C4/100*30)-$C$12&lt;0,0,(C4/100*30)-$C$12),
IF(C4-$C$12&lt;0,0,C4-$C$12)))</f>
        <v>2570000</v>
      </c>
      <c r="E4" s="93"/>
      <c r="F4" s="83"/>
      <c r="G4" s="91">
        <v>31413</v>
      </c>
      <c r="H4" s="65">
        <f t="shared" ref="H4:H9" si="0">IFERROR(IF(G4="","",DATEDIF(G4,$K$16,"Y")),"-")</f>
        <v>39</v>
      </c>
      <c r="I4" s="24"/>
      <c r="J4" s="5" t="str">
        <f>IF(B4=0,"",B4)</f>
        <v>世帯主</v>
      </c>
      <c r="K4" s="92">
        <v>1</v>
      </c>
      <c r="L4" s="92">
        <v>1</v>
      </c>
      <c r="M4" s="92">
        <v>1</v>
      </c>
      <c r="N4" s="92">
        <v>1</v>
      </c>
      <c r="O4" s="92">
        <v>1</v>
      </c>
      <c r="P4" s="92">
        <v>1</v>
      </c>
      <c r="Q4" s="92">
        <v>1</v>
      </c>
      <c r="R4" s="92">
        <v>1</v>
      </c>
      <c r="S4" s="92">
        <v>1</v>
      </c>
      <c r="T4" s="92">
        <v>1</v>
      </c>
      <c r="U4" s="92">
        <v>1</v>
      </c>
      <c r="V4" s="92">
        <v>1</v>
      </c>
      <c r="W4" s="92">
        <v>1</v>
      </c>
      <c r="X4" s="9">
        <f>COUNTIF(L4:W4,1)+COUNTIF(L4:W4,3)</f>
        <v>12</v>
      </c>
      <c r="Y4" s="24"/>
      <c r="Z4" s="28" t="s">
        <v>16</v>
      </c>
    </row>
    <row r="5" spans="1:26" ht="23.25" customHeight="1">
      <c r="A5" s="31"/>
      <c r="B5" s="76" t="s">
        <v>70</v>
      </c>
      <c r="C5" s="90">
        <v>1500000</v>
      </c>
      <c r="D5" s="4">
        <f>IF(C5="","",IF(Z18=TRUE,IF((C5/100*30)-$C$12&lt;0,0,(C5/100*30)-$C$12),
IF(C5-$C$12&lt;0,0,C5-$C$12)))</f>
        <v>1070000</v>
      </c>
      <c r="E5" s="93"/>
      <c r="F5" s="83"/>
      <c r="G5" s="91">
        <v>31413</v>
      </c>
      <c r="H5" s="65">
        <f t="shared" si="0"/>
        <v>39</v>
      </c>
      <c r="I5" s="24"/>
      <c r="J5" s="5" t="str">
        <f>IF(B5=0,"",B5)</f>
        <v>妻</v>
      </c>
      <c r="K5" s="92">
        <v>3</v>
      </c>
      <c r="L5" s="92">
        <v>3</v>
      </c>
      <c r="M5" s="92">
        <v>3</v>
      </c>
      <c r="N5" s="92">
        <v>3</v>
      </c>
      <c r="O5" s="92">
        <v>3</v>
      </c>
      <c r="P5" s="92">
        <v>3</v>
      </c>
      <c r="Q5" s="92">
        <v>3</v>
      </c>
      <c r="R5" s="92">
        <v>3</v>
      </c>
      <c r="S5" s="92">
        <v>3</v>
      </c>
      <c r="T5" s="92">
        <v>3</v>
      </c>
      <c r="U5" s="92">
        <v>3</v>
      </c>
      <c r="V5" s="92">
        <v>3</v>
      </c>
      <c r="W5" s="92">
        <v>3</v>
      </c>
      <c r="X5" s="9">
        <f>COUNTIF(L5:W5,1)+COUNTIF(L5:W5,3)</f>
        <v>12</v>
      </c>
      <c r="Y5" s="24"/>
      <c r="Z5" s="28" t="s">
        <v>17</v>
      </c>
    </row>
    <row r="6" spans="1:26" ht="23.25" customHeight="1">
      <c r="A6" s="32"/>
      <c r="B6" s="76" t="s">
        <v>71</v>
      </c>
      <c r="C6" s="90">
        <v>0</v>
      </c>
      <c r="D6" s="4">
        <f>IF(C6="","",IF(Z19=TRUE,IF((C6/100*30)-$C$12&lt;0,0,(C6/100*30)-$C$12),
IF(C6-$C$12&lt;0,0,C6-$C$12)))</f>
        <v>0</v>
      </c>
      <c r="E6" s="93"/>
      <c r="F6" s="83"/>
      <c r="G6" s="91">
        <v>42370</v>
      </c>
      <c r="H6" s="65">
        <f t="shared" si="0"/>
        <v>9</v>
      </c>
      <c r="I6" s="24"/>
      <c r="J6" s="5" t="str">
        <f>IF(B6=0,"",B6)</f>
        <v>子</v>
      </c>
      <c r="K6" s="92">
        <v>3</v>
      </c>
      <c r="L6" s="92">
        <v>3</v>
      </c>
      <c r="M6" s="92">
        <v>3</v>
      </c>
      <c r="N6" s="92">
        <v>3</v>
      </c>
      <c r="O6" s="92">
        <v>3</v>
      </c>
      <c r="P6" s="92">
        <v>3</v>
      </c>
      <c r="Q6" s="92">
        <v>3</v>
      </c>
      <c r="R6" s="92">
        <v>3</v>
      </c>
      <c r="S6" s="92">
        <v>3</v>
      </c>
      <c r="T6" s="92">
        <v>3</v>
      </c>
      <c r="U6" s="92">
        <v>3</v>
      </c>
      <c r="V6" s="92">
        <v>3</v>
      </c>
      <c r="W6" s="92">
        <v>3</v>
      </c>
      <c r="X6" s="9">
        <f t="shared" ref="X6:X9" si="1">COUNTIF(L6:W6,1)+COUNTIF(L6:W6,3)</f>
        <v>12</v>
      </c>
      <c r="Y6" s="24"/>
      <c r="Z6" s="28"/>
    </row>
    <row r="7" spans="1:26" ht="23.25" customHeight="1">
      <c r="A7" s="32"/>
      <c r="B7" s="77" t="s">
        <v>71</v>
      </c>
      <c r="C7" s="90">
        <v>0</v>
      </c>
      <c r="D7" s="4">
        <f t="shared" ref="D7:D9" si="2">IF(C7="","",IF(Z20=TRUE,IF((C7/100*30)-$C$12&lt;0,0,(C7/100*30)-$C$12),
IF(C7-$C$12&lt;0,0,C7-$C$12)))</f>
        <v>0</v>
      </c>
      <c r="E7" s="93"/>
      <c r="F7" s="83"/>
      <c r="G7" s="91">
        <v>43831</v>
      </c>
      <c r="H7" s="65">
        <f t="shared" si="0"/>
        <v>5</v>
      </c>
      <c r="I7" s="24"/>
      <c r="J7" s="5" t="str">
        <f t="shared" ref="J7:J9" si="3">IF(B7=0,"",B7)</f>
        <v>子</v>
      </c>
      <c r="K7" s="92">
        <v>3</v>
      </c>
      <c r="L7" s="92">
        <v>3</v>
      </c>
      <c r="M7" s="92">
        <v>3</v>
      </c>
      <c r="N7" s="92">
        <v>3</v>
      </c>
      <c r="O7" s="92">
        <v>3</v>
      </c>
      <c r="P7" s="92">
        <v>3</v>
      </c>
      <c r="Q7" s="92">
        <v>3</v>
      </c>
      <c r="R7" s="92">
        <v>3</v>
      </c>
      <c r="S7" s="92">
        <v>3</v>
      </c>
      <c r="T7" s="92">
        <v>3</v>
      </c>
      <c r="U7" s="92">
        <v>3</v>
      </c>
      <c r="V7" s="92">
        <v>3</v>
      </c>
      <c r="W7" s="92">
        <v>3</v>
      </c>
      <c r="X7" s="9">
        <f t="shared" si="1"/>
        <v>12</v>
      </c>
      <c r="Y7" s="24"/>
      <c r="Z7" s="28"/>
    </row>
    <row r="8" spans="1:26" ht="23.25" customHeight="1">
      <c r="A8" s="32"/>
      <c r="B8" s="77"/>
      <c r="C8" s="75"/>
      <c r="D8" s="4" t="str">
        <f t="shared" si="2"/>
        <v/>
      </c>
      <c r="E8" s="93"/>
      <c r="F8" s="83"/>
      <c r="G8" s="79"/>
      <c r="H8" s="65" t="str">
        <f t="shared" si="0"/>
        <v/>
      </c>
      <c r="I8" s="24"/>
      <c r="J8" s="5" t="str">
        <f t="shared" si="3"/>
        <v/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>
        <f t="shared" si="1"/>
        <v>0</v>
      </c>
      <c r="Y8" s="24"/>
      <c r="Z8" s="24"/>
    </row>
    <row r="9" spans="1:26" ht="23.25" customHeight="1">
      <c r="A9" s="32"/>
      <c r="B9" s="77"/>
      <c r="C9" s="75"/>
      <c r="D9" s="4" t="str">
        <f t="shared" si="2"/>
        <v/>
      </c>
      <c r="E9" s="93"/>
      <c r="F9" s="83"/>
      <c r="G9" s="79"/>
      <c r="H9" s="65" t="str">
        <f t="shared" si="0"/>
        <v/>
      </c>
      <c r="I9" s="24"/>
      <c r="J9" s="5" t="str">
        <f t="shared" si="3"/>
        <v/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>
        <f t="shared" si="1"/>
        <v>0</v>
      </c>
      <c r="Y9" s="24"/>
      <c r="Z9" s="24"/>
    </row>
    <row r="10" spans="1:26" ht="23.25" customHeight="1">
      <c r="A10" s="32"/>
      <c r="B10" s="32" t="s">
        <v>75</v>
      </c>
      <c r="C10" s="32"/>
      <c r="D10" s="32"/>
      <c r="E10" s="3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3.25" customHeight="1">
      <c r="A11" s="32"/>
      <c r="B11" s="88"/>
      <c r="C11" s="16" t="s">
        <v>38</v>
      </c>
      <c r="D11" s="88" t="s">
        <v>39</v>
      </c>
      <c r="E11" s="98" t="s">
        <v>40</v>
      </c>
      <c r="F11" s="99"/>
      <c r="G11" s="18" t="s">
        <v>41</v>
      </c>
      <c r="H11" s="24"/>
      <c r="I11" s="24"/>
      <c r="J11" s="88" t="s">
        <v>30</v>
      </c>
      <c r="K11" s="12">
        <f>IF(R11&lt;=N11,3,IF(AND(N11&lt;R11,R11&lt;=N12),5,IF(AND(N12&lt;R11,R11&lt;=N13),8,10)))</f>
        <v>10</v>
      </c>
      <c r="L11" s="107" t="s">
        <v>11</v>
      </c>
      <c r="M11" s="108"/>
      <c r="N11" s="105">
        <f>'入力例（入力箇所は赤字で表示）'!$C$12+100000*(K12-1)</f>
        <v>530000</v>
      </c>
      <c r="O11" s="106"/>
      <c r="P11" s="107" t="s">
        <v>19</v>
      </c>
      <c r="Q11" s="108"/>
      <c r="R11" s="105">
        <f>SUMIFS($C4:$C9,K4:K9,"&gt;=1")</f>
        <v>4500000</v>
      </c>
      <c r="S11" s="106"/>
      <c r="T11" s="24"/>
      <c r="U11" s="24"/>
      <c r="V11" s="24"/>
      <c r="W11" s="24"/>
      <c r="X11" s="24"/>
      <c r="Y11" s="24"/>
      <c r="Z11" s="24"/>
    </row>
    <row r="12" spans="1:26" ht="23.25" customHeight="1">
      <c r="A12" s="32"/>
      <c r="B12" s="88" t="s">
        <v>0</v>
      </c>
      <c r="C12" s="10">
        <v>430000</v>
      </c>
      <c r="D12" s="11">
        <v>0.06</v>
      </c>
      <c r="E12" s="109">
        <v>2.7E-2</v>
      </c>
      <c r="F12" s="110"/>
      <c r="G12" s="11">
        <v>2.3E-2</v>
      </c>
      <c r="H12" s="24"/>
      <c r="I12" s="24"/>
      <c r="J12" s="88" t="s">
        <v>18</v>
      </c>
      <c r="K12" s="12">
        <f>IF(COUNTIF(X17:X22,"TRUE")=0,1,COUNTIF(X17:X22,"TRUE"))</f>
        <v>2</v>
      </c>
      <c r="L12" s="107" t="s">
        <v>9</v>
      </c>
      <c r="M12" s="108"/>
      <c r="N12" s="105">
        <f>'入力例（入力箇所は赤字で表示）'!$C$12+(305000*(K13)+100000*(K12-1))</f>
        <v>1750000</v>
      </c>
      <c r="O12" s="106"/>
      <c r="P12" s="107" t="s">
        <v>68</v>
      </c>
      <c r="Q12" s="108"/>
      <c r="R12" s="105">
        <f>IF(H4&lt;6,SUM(K18,L18),0)+IF(H5&lt;6,SUM(K19,L19),0)+IF(H6&lt;6,SUM(K20,L20),0)+IF(H7&lt;6,SUM(K21,L21),0)+IF(H8&lt;6,SUM(K22,L22),0)+IF(H9&lt;6,SUM(K23,L23),0)</f>
        <v>16500</v>
      </c>
      <c r="S12" s="106"/>
      <c r="T12" s="45"/>
      <c r="U12" s="45"/>
      <c r="V12" s="45"/>
      <c r="W12" s="45"/>
      <c r="X12" s="29"/>
      <c r="Y12" s="24"/>
      <c r="Z12" s="24"/>
    </row>
    <row r="13" spans="1:26" ht="23.25" customHeight="1">
      <c r="A13" s="32"/>
      <c r="B13" s="19" t="s">
        <v>2</v>
      </c>
      <c r="C13" s="64" t="s">
        <v>4</v>
      </c>
      <c r="D13" s="10">
        <v>23000</v>
      </c>
      <c r="E13" s="94">
        <v>10000</v>
      </c>
      <c r="F13" s="95"/>
      <c r="G13" s="10">
        <v>10500</v>
      </c>
      <c r="H13" s="24"/>
      <c r="I13" s="24"/>
      <c r="J13" s="88" t="s">
        <v>20</v>
      </c>
      <c r="K13" s="12">
        <f>(COUNTIF(K4:K9,"3")+COUNTIF(K4:K9,"1")+COUNTIF(K4:K9,"32")+COUNTIF(K4:K9,"33"))</f>
        <v>4</v>
      </c>
      <c r="L13" s="103" t="s">
        <v>10</v>
      </c>
      <c r="M13" s="103"/>
      <c r="N13" s="104">
        <f>'入力例（入力箇所は赤字で表示）'!$C$12+(560000*(K13)+100000*(K12-1))</f>
        <v>2770000</v>
      </c>
      <c r="O13" s="104"/>
      <c r="P13" s="46"/>
      <c r="Q13" s="46"/>
      <c r="R13" s="46"/>
      <c r="S13" s="46"/>
      <c r="T13" s="46"/>
      <c r="U13" s="46"/>
      <c r="V13" s="46"/>
      <c r="W13" s="46"/>
      <c r="X13" s="29"/>
      <c r="Y13" s="24"/>
      <c r="Z13" s="24"/>
    </row>
    <row r="14" spans="1:26" ht="23.25" customHeight="1">
      <c r="A14" s="32"/>
      <c r="B14" s="88" t="s">
        <v>1</v>
      </c>
      <c r="C14" s="64" t="s">
        <v>5</v>
      </c>
      <c r="D14" s="10">
        <v>18500</v>
      </c>
      <c r="E14" s="94">
        <v>8000</v>
      </c>
      <c r="F14" s="95"/>
      <c r="G14" s="10">
        <v>6000</v>
      </c>
      <c r="H14" s="24"/>
      <c r="I14" s="24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46"/>
      <c r="U14" s="46"/>
      <c r="V14" s="46"/>
      <c r="W14" s="46"/>
      <c r="X14" s="29"/>
      <c r="Y14" s="24"/>
      <c r="Z14" s="24"/>
    </row>
    <row r="15" spans="1:26" ht="23.25" customHeight="1">
      <c r="A15" s="24"/>
      <c r="B15" s="88" t="s">
        <v>3</v>
      </c>
      <c r="C15" s="13"/>
      <c r="D15" s="10">
        <v>650000</v>
      </c>
      <c r="E15" s="94">
        <v>240000</v>
      </c>
      <c r="F15" s="95"/>
      <c r="G15" s="10">
        <v>170000</v>
      </c>
      <c r="H15" s="24"/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46"/>
      <c r="U15" s="46"/>
      <c r="V15" s="46"/>
      <c r="W15" s="46"/>
      <c r="X15" s="29"/>
      <c r="Y15" s="24"/>
      <c r="Z15" s="24"/>
    </row>
    <row r="16" spans="1:26" ht="23.25" customHeight="1">
      <c r="A16" s="24"/>
      <c r="B16" s="49"/>
      <c r="C16" s="30"/>
      <c r="D16" s="50"/>
      <c r="E16" s="50"/>
      <c r="F16" s="50"/>
      <c r="G16" s="50"/>
      <c r="H16" s="24"/>
      <c r="I16" s="24"/>
      <c r="J16" s="25"/>
      <c r="K16" s="36">
        <f>DATE(2018+$J$3,L3,1)</f>
        <v>45748</v>
      </c>
      <c r="L16" s="36">
        <f>DATE(2018+$J$3,L3,30)</f>
        <v>45777</v>
      </c>
      <c r="M16" s="36">
        <f>DATE(2018+$J$3,M3,31)</f>
        <v>45808</v>
      </c>
      <c r="N16" s="36">
        <f>DATE(2018+$J$3,N3,30)</f>
        <v>45838</v>
      </c>
      <c r="O16" s="36">
        <f>DATE(2018+$J$3,O3,31)</f>
        <v>45869</v>
      </c>
      <c r="P16" s="36">
        <f>DATE(2018+$J$3,P3,31)</f>
        <v>45900</v>
      </c>
      <c r="Q16" s="36">
        <f>DATE(2018+$J$3,Q3,30)</f>
        <v>45930</v>
      </c>
      <c r="R16" s="36">
        <f>DATE(2018+$J$3,R3,31)</f>
        <v>45961</v>
      </c>
      <c r="S16" s="36">
        <f>DATE(2018+$J$3,S3,30)</f>
        <v>45991</v>
      </c>
      <c r="T16" s="36">
        <f>DATE(2018+$J$3,T3,31)</f>
        <v>46022</v>
      </c>
      <c r="U16" s="36">
        <f>DATE(2019+$J$3,U3,31)</f>
        <v>46053</v>
      </c>
      <c r="V16" s="36">
        <f>DATE(2019+$J$3,V3,28)</f>
        <v>46081</v>
      </c>
      <c r="W16" s="36">
        <f>DATE(2019+$J$3,W3,31)</f>
        <v>46112</v>
      </c>
      <c r="X16" s="66" t="s">
        <v>18</v>
      </c>
      <c r="Y16" s="24"/>
      <c r="Z16" s="67" t="s">
        <v>67</v>
      </c>
    </row>
    <row r="17" spans="1:26" ht="23.25" hidden="1" customHeight="1">
      <c r="A17" s="24"/>
      <c r="B17" s="49"/>
      <c r="C17" s="30"/>
      <c r="D17" s="50"/>
      <c r="E17" s="50"/>
      <c r="F17" s="50"/>
      <c r="G17" s="50"/>
      <c r="H17" s="24"/>
      <c r="I17" s="24"/>
      <c r="J17" s="57"/>
      <c r="K17" s="57" t="s">
        <v>48</v>
      </c>
      <c r="L17" s="58" t="s">
        <v>55</v>
      </c>
      <c r="M17" s="42" t="s">
        <v>56</v>
      </c>
      <c r="N17" s="41" t="s">
        <v>57</v>
      </c>
      <c r="O17" s="44" t="s">
        <v>58</v>
      </c>
      <c r="P17" s="42" t="s">
        <v>59</v>
      </c>
      <c r="Q17" s="41" t="s">
        <v>60</v>
      </c>
      <c r="R17" s="44" t="s">
        <v>61</v>
      </c>
      <c r="S17" s="42" t="s">
        <v>62</v>
      </c>
      <c r="T17" s="12"/>
      <c r="U17" s="12"/>
      <c r="V17" s="12"/>
      <c r="W17" s="12"/>
      <c r="X17" s="68" t="b">
        <v>1</v>
      </c>
      <c r="Y17" s="69"/>
      <c r="Z17" s="70" t="b">
        <v>0</v>
      </c>
    </row>
    <row r="18" spans="1:26" ht="23.25" hidden="1" customHeight="1">
      <c r="A18" s="24"/>
      <c r="B18" s="51"/>
      <c r="C18" s="52"/>
      <c r="D18" s="32"/>
      <c r="E18" s="32"/>
      <c r="F18" s="24"/>
      <c r="G18" s="24"/>
      <c r="H18" s="24"/>
      <c r="I18" s="24"/>
      <c r="J18" s="57" t="s">
        <v>49</v>
      </c>
      <c r="K18" s="59">
        <f t="shared" ref="K18:K23" si="4">IF(H4&lt;6,(($D$13)/12*(X4)/10*$K$11)/2,($D$13)/12*(X4)/10*$K$11)</f>
        <v>23000</v>
      </c>
      <c r="L18" s="60">
        <f t="shared" ref="L18:L23" si="5">IF(H4&lt;6,(($E$13)/12*(X4)/10*$K$11)/2,($E$13)/12*(X4)/10*$K$11)</f>
        <v>10000</v>
      </c>
      <c r="M18" s="47">
        <f t="shared" ref="M18:M23" si="6">$G$13/12*K24/10*$K$11</f>
        <v>2625</v>
      </c>
      <c r="N18" s="47">
        <f t="shared" ref="N18:N23" si="7">IFERROR(D4*$D$12/12*$X4,"0")</f>
        <v>154200</v>
      </c>
      <c r="O18" s="48">
        <f t="shared" ref="O18:O23" si="8">IFERROR(D4*$E$12/12*X4,"0")</f>
        <v>69390</v>
      </c>
      <c r="P18" s="47">
        <f t="shared" ref="P18:P23" si="9">IFERROR($G$12*D4/12*K24,"0")</f>
        <v>14777.5</v>
      </c>
      <c r="Q18" s="39">
        <f>MAX(X4:X9)*D14/12/10*K11</f>
        <v>18500</v>
      </c>
      <c r="R18" s="39">
        <f>MAX(X4:X9)*E14/12/10*K11</f>
        <v>8000</v>
      </c>
      <c r="S18" s="39">
        <f>G14*MAX(K24:K29)/12/10*K11</f>
        <v>1500</v>
      </c>
      <c r="T18" s="43"/>
      <c r="U18" s="43"/>
      <c r="V18" s="43"/>
      <c r="W18" s="43"/>
      <c r="X18" s="68" t="b">
        <v>1</v>
      </c>
      <c r="Y18" s="69"/>
      <c r="Z18" s="71" t="b">
        <v>0</v>
      </c>
    </row>
    <row r="19" spans="1:26" ht="23.25" hidden="1" customHeight="1">
      <c r="A19" s="24"/>
      <c r="B19" s="51"/>
      <c r="C19" s="52"/>
      <c r="D19" s="32"/>
      <c r="E19" s="32"/>
      <c r="F19" s="24"/>
      <c r="G19" s="24"/>
      <c r="H19" s="24"/>
      <c r="I19" s="24"/>
      <c r="J19" s="57" t="s">
        <v>50</v>
      </c>
      <c r="K19" s="59">
        <f t="shared" si="4"/>
        <v>23000</v>
      </c>
      <c r="L19" s="60">
        <f t="shared" si="5"/>
        <v>10000</v>
      </c>
      <c r="M19" s="47">
        <f t="shared" si="6"/>
        <v>2625</v>
      </c>
      <c r="N19" s="47">
        <f t="shared" si="7"/>
        <v>64200</v>
      </c>
      <c r="O19" s="48">
        <f t="shared" si="8"/>
        <v>28890</v>
      </c>
      <c r="P19" s="47">
        <f t="shared" si="9"/>
        <v>6152.5</v>
      </c>
      <c r="Q19" s="37"/>
      <c r="R19" s="37"/>
      <c r="S19" s="37"/>
      <c r="T19" s="37"/>
      <c r="U19" s="37"/>
      <c r="V19" s="37"/>
      <c r="W19" s="37"/>
      <c r="X19" s="68" t="b">
        <v>0</v>
      </c>
      <c r="Y19" s="69"/>
      <c r="Z19" s="71" t="b">
        <v>0</v>
      </c>
    </row>
    <row r="20" spans="1:26" ht="23.25" hidden="1" customHeight="1">
      <c r="A20" s="24"/>
      <c r="B20" s="51"/>
      <c r="C20" s="52"/>
      <c r="D20" s="32"/>
      <c r="E20" s="32"/>
      <c r="F20" s="24"/>
      <c r="G20" s="24"/>
      <c r="H20" s="24"/>
      <c r="I20" s="24"/>
      <c r="J20" s="57" t="s">
        <v>51</v>
      </c>
      <c r="K20" s="59">
        <f t="shared" si="4"/>
        <v>23000</v>
      </c>
      <c r="L20" s="60">
        <f t="shared" si="5"/>
        <v>10000</v>
      </c>
      <c r="M20" s="47">
        <f t="shared" si="6"/>
        <v>0</v>
      </c>
      <c r="N20" s="47">
        <f t="shared" si="7"/>
        <v>0</v>
      </c>
      <c r="O20" s="48">
        <f t="shared" si="8"/>
        <v>0</v>
      </c>
      <c r="P20" s="47">
        <f t="shared" si="9"/>
        <v>0</v>
      </c>
      <c r="Q20" s="37"/>
      <c r="R20" s="37"/>
      <c r="S20" s="37"/>
      <c r="T20" s="37"/>
      <c r="U20" s="37"/>
      <c r="V20" s="37"/>
      <c r="W20" s="37"/>
      <c r="X20" s="68" t="b">
        <v>0</v>
      </c>
      <c r="Y20" s="69"/>
      <c r="Z20" s="71" t="b">
        <v>0</v>
      </c>
    </row>
    <row r="21" spans="1:26" ht="23.25" hidden="1" customHeight="1">
      <c r="A21" s="24"/>
      <c r="B21" s="51"/>
      <c r="C21" s="52"/>
      <c r="D21" s="32"/>
      <c r="E21" s="32"/>
      <c r="F21" s="24"/>
      <c r="G21" s="24"/>
      <c r="H21" s="24"/>
      <c r="I21" s="24"/>
      <c r="J21" s="57" t="s">
        <v>52</v>
      </c>
      <c r="K21" s="59">
        <f t="shared" si="4"/>
        <v>11500</v>
      </c>
      <c r="L21" s="60">
        <f t="shared" si="5"/>
        <v>5000</v>
      </c>
      <c r="M21" s="47">
        <f t="shared" si="6"/>
        <v>0</v>
      </c>
      <c r="N21" s="47">
        <f t="shared" si="7"/>
        <v>0</v>
      </c>
      <c r="O21" s="48">
        <f t="shared" si="8"/>
        <v>0</v>
      </c>
      <c r="P21" s="47">
        <f t="shared" si="9"/>
        <v>0</v>
      </c>
      <c r="Q21" s="37"/>
      <c r="R21" s="37"/>
      <c r="S21" s="37"/>
      <c r="T21" s="37"/>
      <c r="U21" s="37"/>
      <c r="V21" s="37"/>
      <c r="W21" s="37"/>
      <c r="X21" s="68" t="b">
        <v>0</v>
      </c>
      <c r="Y21" s="69"/>
      <c r="Z21" s="71" t="b">
        <v>0</v>
      </c>
    </row>
    <row r="22" spans="1:26" ht="23.25" hidden="1" customHeight="1">
      <c r="A22" s="24"/>
      <c r="B22" s="51"/>
      <c r="C22" s="52"/>
      <c r="D22" s="32"/>
      <c r="E22" s="32"/>
      <c r="F22" s="24"/>
      <c r="G22" s="24"/>
      <c r="H22" s="24"/>
      <c r="I22" s="24"/>
      <c r="J22" s="57" t="s">
        <v>53</v>
      </c>
      <c r="K22" s="59">
        <f t="shared" si="4"/>
        <v>0</v>
      </c>
      <c r="L22" s="60">
        <f t="shared" si="5"/>
        <v>0</v>
      </c>
      <c r="M22" s="47">
        <f t="shared" si="6"/>
        <v>0</v>
      </c>
      <c r="N22" s="47" t="str">
        <f t="shared" si="7"/>
        <v>0</v>
      </c>
      <c r="O22" s="48" t="str">
        <f t="shared" si="8"/>
        <v>0</v>
      </c>
      <c r="P22" s="47" t="str">
        <f t="shared" si="9"/>
        <v>0</v>
      </c>
      <c r="Q22" s="37"/>
      <c r="R22" s="37"/>
      <c r="S22" s="37"/>
      <c r="T22" s="37"/>
      <c r="U22" s="37"/>
      <c r="V22" s="37"/>
      <c r="W22" s="37"/>
      <c r="X22" s="68" t="b">
        <v>0</v>
      </c>
      <c r="Y22" s="69"/>
      <c r="Z22" s="71" t="b">
        <v>0</v>
      </c>
    </row>
    <row r="23" spans="1:26" ht="23.25" hidden="1" customHeight="1">
      <c r="A23" s="32"/>
      <c r="B23" s="51"/>
      <c r="C23" s="52"/>
      <c r="D23" s="53"/>
      <c r="E23" s="53"/>
      <c r="F23" s="24"/>
      <c r="G23" s="24"/>
      <c r="H23" s="24"/>
      <c r="I23" s="24"/>
      <c r="J23" s="57" t="s">
        <v>54</v>
      </c>
      <c r="K23" s="59">
        <f t="shared" si="4"/>
        <v>0</v>
      </c>
      <c r="L23" s="60">
        <f t="shared" si="5"/>
        <v>0</v>
      </c>
      <c r="M23" s="47">
        <f t="shared" si="6"/>
        <v>0</v>
      </c>
      <c r="N23" s="47" t="str">
        <f t="shared" si="7"/>
        <v>0</v>
      </c>
      <c r="O23" s="48" t="str">
        <f t="shared" si="8"/>
        <v>0</v>
      </c>
      <c r="P23" s="47" t="str">
        <f t="shared" si="9"/>
        <v>0</v>
      </c>
      <c r="Q23" s="37"/>
      <c r="R23" s="37"/>
      <c r="S23" s="37"/>
      <c r="T23" s="37"/>
      <c r="U23" s="37"/>
      <c r="V23" s="37"/>
      <c r="W23" s="37"/>
      <c r="X23" s="38"/>
      <c r="Y23" s="24"/>
      <c r="Z23" s="26"/>
    </row>
    <row r="24" spans="1:26" ht="23.25" hidden="1" customHeight="1">
      <c r="A24" s="24"/>
      <c r="B24" s="24"/>
      <c r="C24" s="24"/>
      <c r="D24" s="24"/>
      <c r="E24" s="24"/>
      <c r="F24" s="24"/>
      <c r="G24" s="24"/>
      <c r="H24" s="24"/>
      <c r="I24" s="24"/>
      <c r="J24" s="57" t="s">
        <v>49</v>
      </c>
      <c r="K24" s="61">
        <f>COUNTIFS(L24:W24,"&gt;=40",L24:W24,"&lt;65")</f>
        <v>3</v>
      </c>
      <c r="L24" s="61">
        <f t="shared" ref="L24:W29" si="10">IF(L4=1,DATEDIF($G4,L$16,"Y"),IF(L4=3,DATEDIF($G4,L$16,"Y"),""))</f>
        <v>39</v>
      </c>
      <c r="M24" s="40">
        <f t="shared" ref="M24:W24" si="11">IF(M$4=1,DATEDIF($G4,M$16,"Y"),IF(M$4=3,DATEDIF($G4,M$16,"Y"),""))</f>
        <v>39</v>
      </c>
      <c r="N24" s="40">
        <f t="shared" si="11"/>
        <v>39</v>
      </c>
      <c r="O24" s="40">
        <f t="shared" si="11"/>
        <v>39</v>
      </c>
      <c r="P24" s="40">
        <f t="shared" si="11"/>
        <v>39</v>
      </c>
      <c r="Q24" s="40">
        <f t="shared" si="11"/>
        <v>39</v>
      </c>
      <c r="R24" s="40">
        <f t="shared" si="11"/>
        <v>39</v>
      </c>
      <c r="S24" s="40">
        <f t="shared" si="11"/>
        <v>39</v>
      </c>
      <c r="T24" s="40">
        <f t="shared" si="11"/>
        <v>39</v>
      </c>
      <c r="U24" s="40">
        <f t="shared" si="11"/>
        <v>40</v>
      </c>
      <c r="V24" s="40">
        <f t="shared" si="11"/>
        <v>40</v>
      </c>
      <c r="W24" s="40">
        <f t="shared" si="11"/>
        <v>40</v>
      </c>
      <c r="X24" s="29"/>
      <c r="Y24" s="24"/>
      <c r="Z24" s="26"/>
    </row>
    <row r="25" spans="1:26" ht="23.25" hidden="1" customHeight="1">
      <c r="A25" s="24"/>
      <c r="B25" s="24"/>
      <c r="C25" s="24"/>
      <c r="D25" s="24"/>
      <c r="E25" s="24"/>
      <c r="F25" s="24"/>
      <c r="G25" s="24"/>
      <c r="H25" s="24"/>
      <c r="I25" s="24"/>
      <c r="J25" s="57" t="s">
        <v>50</v>
      </c>
      <c r="K25" s="61">
        <f t="shared" ref="K25:K29" si="12">COUNTIFS(L25:W25,"&gt;=40",L25:W25,"&lt;65")</f>
        <v>3</v>
      </c>
      <c r="L25" s="61">
        <f t="shared" si="10"/>
        <v>39</v>
      </c>
      <c r="M25" s="40">
        <f t="shared" si="10"/>
        <v>39</v>
      </c>
      <c r="N25" s="40">
        <f t="shared" si="10"/>
        <v>39</v>
      </c>
      <c r="O25" s="40">
        <f t="shared" si="10"/>
        <v>39</v>
      </c>
      <c r="P25" s="40">
        <f t="shared" si="10"/>
        <v>39</v>
      </c>
      <c r="Q25" s="40">
        <f t="shared" si="10"/>
        <v>39</v>
      </c>
      <c r="R25" s="40">
        <f t="shared" si="10"/>
        <v>39</v>
      </c>
      <c r="S25" s="40">
        <f t="shared" si="10"/>
        <v>39</v>
      </c>
      <c r="T25" s="40">
        <f t="shared" si="10"/>
        <v>39</v>
      </c>
      <c r="U25" s="40">
        <f t="shared" si="10"/>
        <v>40</v>
      </c>
      <c r="V25" s="40">
        <f t="shared" si="10"/>
        <v>40</v>
      </c>
      <c r="W25" s="40">
        <f t="shared" si="10"/>
        <v>40</v>
      </c>
      <c r="X25" s="29"/>
      <c r="Y25" s="24"/>
      <c r="Z25" s="26"/>
    </row>
    <row r="26" spans="1:26" ht="23.25" hidden="1" customHeight="1">
      <c r="A26" s="24"/>
      <c r="B26" s="24"/>
      <c r="C26" s="24"/>
      <c r="D26" s="24"/>
      <c r="E26" s="24"/>
      <c r="F26" s="24"/>
      <c r="G26" s="24"/>
      <c r="H26" s="24"/>
      <c r="I26" s="24"/>
      <c r="J26" s="57" t="s">
        <v>51</v>
      </c>
      <c r="K26" s="61">
        <f t="shared" si="12"/>
        <v>0</v>
      </c>
      <c r="L26" s="61">
        <f t="shared" si="10"/>
        <v>9</v>
      </c>
      <c r="M26" s="40">
        <f t="shared" si="10"/>
        <v>9</v>
      </c>
      <c r="N26" s="40">
        <f t="shared" si="10"/>
        <v>9</v>
      </c>
      <c r="O26" s="40">
        <f t="shared" si="10"/>
        <v>9</v>
      </c>
      <c r="P26" s="40">
        <f t="shared" si="10"/>
        <v>9</v>
      </c>
      <c r="Q26" s="40">
        <f t="shared" si="10"/>
        <v>9</v>
      </c>
      <c r="R26" s="40">
        <f t="shared" si="10"/>
        <v>9</v>
      </c>
      <c r="S26" s="40">
        <f t="shared" si="10"/>
        <v>9</v>
      </c>
      <c r="T26" s="40">
        <f t="shared" si="10"/>
        <v>9</v>
      </c>
      <c r="U26" s="40">
        <f t="shared" si="10"/>
        <v>10</v>
      </c>
      <c r="V26" s="40">
        <f t="shared" si="10"/>
        <v>10</v>
      </c>
      <c r="W26" s="40">
        <f t="shared" si="10"/>
        <v>10</v>
      </c>
      <c r="X26" s="29"/>
      <c r="Y26" s="24"/>
      <c r="Z26" s="26"/>
    </row>
    <row r="27" spans="1:26" ht="23.25" hidden="1" customHeight="1">
      <c r="A27" s="24"/>
      <c r="B27" s="24"/>
      <c r="C27" s="24"/>
      <c r="D27" s="24"/>
      <c r="E27" s="24"/>
      <c r="F27" s="24"/>
      <c r="G27" s="24"/>
      <c r="H27" s="24"/>
      <c r="I27" s="24"/>
      <c r="J27" s="57" t="s">
        <v>52</v>
      </c>
      <c r="K27" s="61">
        <f t="shared" si="12"/>
        <v>0</v>
      </c>
      <c r="L27" s="61">
        <f t="shared" si="10"/>
        <v>5</v>
      </c>
      <c r="M27" s="40">
        <f t="shared" si="10"/>
        <v>5</v>
      </c>
      <c r="N27" s="40">
        <f t="shared" si="10"/>
        <v>5</v>
      </c>
      <c r="O27" s="40">
        <f t="shared" si="10"/>
        <v>5</v>
      </c>
      <c r="P27" s="40">
        <f t="shared" si="10"/>
        <v>5</v>
      </c>
      <c r="Q27" s="40">
        <f t="shared" si="10"/>
        <v>5</v>
      </c>
      <c r="R27" s="40">
        <f>IF(R7=1,DATEDIF($G7,R$16,"Y"),IF(R7=3,DATEDIF($G7,R$16,"Y"),""))</f>
        <v>5</v>
      </c>
      <c r="S27" s="40">
        <f t="shared" si="10"/>
        <v>5</v>
      </c>
      <c r="T27" s="40">
        <f t="shared" si="10"/>
        <v>5</v>
      </c>
      <c r="U27" s="40">
        <f t="shared" si="10"/>
        <v>6</v>
      </c>
      <c r="V27" s="40">
        <f t="shared" si="10"/>
        <v>6</v>
      </c>
      <c r="W27" s="40">
        <f t="shared" si="10"/>
        <v>6</v>
      </c>
      <c r="X27" s="29"/>
      <c r="Y27" s="24"/>
      <c r="Z27" s="26"/>
    </row>
    <row r="28" spans="1:26" ht="23.25" hidden="1" customHeight="1">
      <c r="A28" s="24"/>
      <c r="B28" s="24"/>
      <c r="C28" s="24"/>
      <c r="D28" s="24"/>
      <c r="E28" s="24"/>
      <c r="F28" s="24"/>
      <c r="G28" s="24"/>
      <c r="H28" s="24"/>
      <c r="I28" s="24"/>
      <c r="J28" s="57" t="s">
        <v>53</v>
      </c>
      <c r="K28" s="61">
        <f t="shared" si="12"/>
        <v>0</v>
      </c>
      <c r="L28" s="61" t="str">
        <f t="shared" si="10"/>
        <v/>
      </c>
      <c r="M28" s="40" t="str">
        <f t="shared" si="10"/>
        <v/>
      </c>
      <c r="N28" s="40" t="str">
        <f t="shared" si="10"/>
        <v/>
      </c>
      <c r="O28" s="40" t="str">
        <f t="shared" si="10"/>
        <v/>
      </c>
      <c r="P28" s="40" t="str">
        <f t="shared" si="10"/>
        <v/>
      </c>
      <c r="Q28" s="40" t="str">
        <f t="shared" si="10"/>
        <v/>
      </c>
      <c r="R28" s="40" t="str">
        <f t="shared" si="10"/>
        <v/>
      </c>
      <c r="S28" s="40" t="str">
        <f t="shared" si="10"/>
        <v/>
      </c>
      <c r="T28" s="40" t="str">
        <f t="shared" si="10"/>
        <v/>
      </c>
      <c r="U28" s="40" t="str">
        <f t="shared" si="10"/>
        <v/>
      </c>
      <c r="V28" s="40" t="str">
        <f t="shared" si="10"/>
        <v/>
      </c>
      <c r="W28" s="40" t="str">
        <f t="shared" si="10"/>
        <v/>
      </c>
      <c r="X28" s="29"/>
      <c r="Y28" s="24"/>
      <c r="Z28" s="26"/>
    </row>
    <row r="29" spans="1:26" ht="23.25" hidden="1" customHeight="1">
      <c r="A29" s="24"/>
      <c r="B29" s="24"/>
      <c r="C29" s="24"/>
      <c r="D29" s="24"/>
      <c r="E29" s="24"/>
      <c r="F29" s="24"/>
      <c r="G29" s="24"/>
      <c r="H29" s="24"/>
      <c r="I29" s="24"/>
      <c r="J29" s="57" t="s">
        <v>54</v>
      </c>
      <c r="K29" s="61">
        <f t="shared" si="12"/>
        <v>0</v>
      </c>
      <c r="L29" s="61" t="str">
        <f t="shared" si="10"/>
        <v/>
      </c>
      <c r="M29" s="40" t="str">
        <f t="shared" si="10"/>
        <v/>
      </c>
      <c r="N29" s="40" t="str">
        <f t="shared" si="10"/>
        <v/>
      </c>
      <c r="O29" s="40" t="str">
        <f t="shared" si="10"/>
        <v/>
      </c>
      <c r="P29" s="40" t="str">
        <f t="shared" si="10"/>
        <v/>
      </c>
      <c r="Q29" s="40" t="str">
        <f t="shared" si="10"/>
        <v/>
      </c>
      <c r="R29" s="40" t="str">
        <f t="shared" si="10"/>
        <v/>
      </c>
      <c r="S29" s="40" t="str">
        <f t="shared" si="10"/>
        <v/>
      </c>
      <c r="T29" s="40" t="str">
        <f t="shared" si="10"/>
        <v/>
      </c>
      <c r="U29" s="40" t="str">
        <f t="shared" si="10"/>
        <v/>
      </c>
      <c r="V29" s="40" t="str">
        <f t="shared" si="10"/>
        <v/>
      </c>
      <c r="W29" s="40" t="str">
        <f t="shared" si="10"/>
        <v/>
      </c>
      <c r="X29" s="29"/>
      <c r="Y29" s="24"/>
      <c r="Z29" s="26"/>
    </row>
    <row r="30" spans="1:26" ht="23.25" customHeight="1">
      <c r="A30" s="24"/>
      <c r="B30" s="24"/>
      <c r="C30" s="24"/>
      <c r="D30" s="24"/>
      <c r="E30" s="24"/>
      <c r="F30" s="24"/>
      <c r="G30" s="24"/>
      <c r="H30" s="24"/>
      <c r="I30" s="24"/>
      <c r="J30" s="73"/>
      <c r="K30" s="82" t="s">
        <v>37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4"/>
      <c r="Y30" s="24"/>
      <c r="Z30" s="26"/>
    </row>
    <row r="31" spans="1:26" ht="23.25" customHeight="1">
      <c r="A31" s="24"/>
      <c r="B31" s="88" t="s">
        <v>27</v>
      </c>
      <c r="C31" s="16" t="s">
        <v>31</v>
      </c>
      <c r="D31" s="88" t="s">
        <v>42</v>
      </c>
      <c r="E31" s="98" t="s">
        <v>32</v>
      </c>
      <c r="F31" s="99"/>
      <c r="G31" s="18" t="s">
        <v>29</v>
      </c>
      <c r="H31" s="24"/>
      <c r="I31" s="24"/>
      <c r="J31" s="25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6"/>
    </row>
    <row r="32" spans="1:26" ht="23.25" customHeight="1">
      <c r="A32" s="24"/>
      <c r="B32" s="19" t="s">
        <v>0</v>
      </c>
      <c r="C32" s="6">
        <f>SUM(N18:P23)</f>
        <v>337610</v>
      </c>
      <c r="D32" s="16" t="s">
        <v>43</v>
      </c>
      <c r="E32" s="96">
        <f>IF(SUM(N18:N23,K18:K23,Q18)&gt;D15,D15,(SUM(K18:K23,N18:N23,Q18)))</f>
        <v>317400</v>
      </c>
      <c r="F32" s="97"/>
      <c r="G32" s="14">
        <f>E32-ROUNDDOWN(E32,-2)</f>
        <v>0</v>
      </c>
      <c r="H32" s="24"/>
      <c r="I32" s="24"/>
      <c r="J32" s="63"/>
      <c r="K32" s="62"/>
      <c r="L32" s="6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6"/>
    </row>
    <row r="33" spans="1:26" ht="23.25" customHeight="1">
      <c r="A33" s="24"/>
      <c r="B33" s="88" t="s">
        <v>2</v>
      </c>
      <c r="C33" s="6">
        <f>SUM(K18:M23)</f>
        <v>120750</v>
      </c>
      <c r="D33" s="20" t="s">
        <v>44</v>
      </c>
      <c r="E33" s="96">
        <f>IF(SUM(L18:L23,O18:O23,R18)&gt;E15,E15,SUM(L18:L23,O18:O23,R18))</f>
        <v>141280</v>
      </c>
      <c r="F33" s="97"/>
      <c r="G33" s="14">
        <f>E33-ROUNDDOWN(E33,-2)</f>
        <v>80</v>
      </c>
      <c r="H33" s="24"/>
      <c r="I33" s="24"/>
      <c r="J33" s="25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6"/>
    </row>
    <row r="34" spans="1:26" ht="23.25" customHeight="1">
      <c r="A34" s="24"/>
      <c r="B34" s="88" t="s">
        <v>1</v>
      </c>
      <c r="C34" s="6">
        <f>SUM(Q18:S18)</f>
        <v>28000</v>
      </c>
      <c r="D34" s="20" t="s">
        <v>45</v>
      </c>
      <c r="E34" s="96">
        <f>IF(SUM(M18:M23,P18:P23,S18)&gt;G15,G15,SUM(M18:M23,P18:P23,S18))</f>
        <v>27680</v>
      </c>
      <c r="F34" s="97"/>
      <c r="G34" s="14">
        <f>E34-ROUNDDOWN(E34,-2)</f>
        <v>80</v>
      </c>
      <c r="H34" s="24"/>
      <c r="I34" s="24"/>
      <c r="J34" s="25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6"/>
    </row>
    <row r="35" spans="1:26" ht="23.25" customHeight="1">
      <c r="A35" s="24"/>
      <c r="B35" s="88" t="s">
        <v>8</v>
      </c>
      <c r="C35" s="6">
        <f>SUM(C32:C34)</f>
        <v>486360</v>
      </c>
      <c r="D35" s="20" t="s">
        <v>12</v>
      </c>
      <c r="E35" s="96">
        <f>SUM(E32:E34)</f>
        <v>486360</v>
      </c>
      <c r="F35" s="97"/>
      <c r="G35" s="7">
        <f>E35-G32-G33-G34</f>
        <v>486200</v>
      </c>
      <c r="H35" s="24"/>
      <c r="I35" s="88" t="s">
        <v>25</v>
      </c>
      <c r="J35" s="88" t="s">
        <v>26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6"/>
    </row>
    <row r="36" spans="1:26" ht="23.25" customHeight="1">
      <c r="A36" s="24"/>
      <c r="B36" s="24"/>
      <c r="C36" s="24"/>
      <c r="D36" s="33"/>
      <c r="E36" s="33"/>
      <c r="F36" s="24"/>
      <c r="G36" s="24"/>
      <c r="H36" s="24"/>
      <c r="I36" s="1">
        <v>1</v>
      </c>
      <c r="J36" s="85">
        <f>G35-SUM(J37:J43)</f>
        <v>59200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6"/>
    </row>
    <row r="37" spans="1:26" ht="23.25" customHeight="1">
      <c r="A37" s="24"/>
      <c r="B37" s="88" t="s">
        <v>23</v>
      </c>
      <c r="C37" s="16" t="s">
        <v>35</v>
      </c>
      <c r="D37" s="17" t="s">
        <v>36</v>
      </c>
      <c r="E37" s="98" t="s">
        <v>33</v>
      </c>
      <c r="F37" s="99"/>
      <c r="G37" s="16" t="s">
        <v>34</v>
      </c>
      <c r="H37" s="24"/>
      <c r="I37" s="1">
        <v>2</v>
      </c>
      <c r="J37" s="85">
        <f>ROUND($G$35/8,-3)</f>
        <v>61000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6"/>
    </row>
    <row r="38" spans="1:26" ht="23.25" customHeight="1">
      <c r="A38" s="24"/>
      <c r="B38" s="1" t="str">
        <f t="shared" ref="B38:B43" si="13">IF(B4="","",B4)</f>
        <v>世帯主</v>
      </c>
      <c r="C38" s="6">
        <f t="shared" ref="C38:C43" si="14">IF(B38="","",SUM(N18:P18))</f>
        <v>238367.5</v>
      </c>
      <c r="D38" s="14">
        <f t="shared" ref="D38:D43" si="15">IF(B38="","",SUM(K18:M18))</f>
        <v>35625</v>
      </c>
      <c r="E38" s="100">
        <f t="shared" ref="E38:E43" si="16">IF(B38="","",(C38+D38)/SUM($C$32:$C$33)*$C$34)</f>
        <v>16737.477092241905</v>
      </c>
      <c r="F38" s="101"/>
      <c r="G38" s="6">
        <f t="shared" ref="G38:G43" si="17">IF(B38="","",SUM(C38:E38)/C$35*G$35)</f>
        <v>290634.33436600055</v>
      </c>
      <c r="H38" s="24"/>
      <c r="I38" s="1">
        <v>3</v>
      </c>
      <c r="J38" s="85">
        <f t="shared" ref="J38:J42" si="18">ROUND($G$35/8,-3)</f>
        <v>61000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6"/>
    </row>
    <row r="39" spans="1:26" ht="23.25" customHeight="1">
      <c r="A39" s="24"/>
      <c r="B39" s="1" t="str">
        <f t="shared" si="13"/>
        <v>妻</v>
      </c>
      <c r="C39" s="6">
        <f t="shared" si="14"/>
        <v>99242.5</v>
      </c>
      <c r="D39" s="14">
        <f t="shared" si="15"/>
        <v>35625</v>
      </c>
      <c r="E39" s="100">
        <f t="shared" si="16"/>
        <v>8238.6988393402571</v>
      </c>
      <c r="F39" s="101"/>
      <c r="G39" s="6">
        <f t="shared" si="17"/>
        <v>143059.12056025828</v>
      </c>
      <c r="H39" s="24"/>
      <c r="I39" s="1">
        <v>4</v>
      </c>
      <c r="J39" s="85">
        <f t="shared" si="18"/>
        <v>61000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6"/>
    </row>
    <row r="40" spans="1:26" ht="23.25" customHeight="1">
      <c r="A40" s="24"/>
      <c r="B40" s="1" t="str">
        <f t="shared" si="13"/>
        <v>子</v>
      </c>
      <c r="C40" s="6">
        <f t="shared" si="14"/>
        <v>0</v>
      </c>
      <c r="D40" s="14">
        <f t="shared" si="15"/>
        <v>33000</v>
      </c>
      <c r="E40" s="100">
        <f t="shared" si="16"/>
        <v>2015.8827122785583</v>
      </c>
      <c r="F40" s="101"/>
      <c r="G40" s="6">
        <f t="shared" si="17"/>
        <v>35004.363382494106</v>
      </c>
      <c r="H40" s="24"/>
      <c r="I40" s="1">
        <v>5</v>
      </c>
      <c r="J40" s="85">
        <f t="shared" si="18"/>
        <v>61000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9"/>
    </row>
    <row r="41" spans="1:26" ht="23.25" customHeight="1">
      <c r="A41" s="24"/>
      <c r="B41" s="1" t="str">
        <f t="shared" si="13"/>
        <v>子</v>
      </c>
      <c r="C41" s="6">
        <f t="shared" si="14"/>
        <v>0</v>
      </c>
      <c r="D41" s="14">
        <f>IF(B41="","",SUM(K21:M21))</f>
        <v>16500</v>
      </c>
      <c r="E41" s="100">
        <f t="shared" si="16"/>
        <v>1007.9413561392792</v>
      </c>
      <c r="F41" s="101"/>
      <c r="G41" s="6">
        <f t="shared" si="17"/>
        <v>17502.181691247053</v>
      </c>
      <c r="H41" s="24"/>
      <c r="I41" s="1">
        <v>6</v>
      </c>
      <c r="J41" s="85">
        <f t="shared" si="18"/>
        <v>61000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3.25" customHeight="1">
      <c r="A42" s="24"/>
      <c r="B42" s="1" t="str">
        <f t="shared" si="13"/>
        <v/>
      </c>
      <c r="C42" s="6" t="str">
        <f t="shared" si="14"/>
        <v/>
      </c>
      <c r="D42" s="14" t="str">
        <f t="shared" si="15"/>
        <v/>
      </c>
      <c r="E42" s="100" t="str">
        <f t="shared" si="16"/>
        <v/>
      </c>
      <c r="F42" s="101"/>
      <c r="G42" s="6" t="str">
        <f t="shared" si="17"/>
        <v/>
      </c>
      <c r="H42" s="24"/>
      <c r="I42" s="1">
        <v>7</v>
      </c>
      <c r="J42" s="85">
        <f t="shared" si="18"/>
        <v>61000</v>
      </c>
      <c r="K42" s="24"/>
      <c r="L42" s="55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3.25" customHeight="1">
      <c r="A43" s="24"/>
      <c r="B43" s="1" t="str">
        <f t="shared" si="13"/>
        <v/>
      </c>
      <c r="C43" s="6" t="str">
        <f t="shared" si="14"/>
        <v/>
      </c>
      <c r="D43" s="14" t="str">
        <f t="shared" si="15"/>
        <v/>
      </c>
      <c r="E43" s="100" t="str">
        <f t="shared" si="16"/>
        <v/>
      </c>
      <c r="F43" s="101"/>
      <c r="G43" s="6" t="str">
        <f t="shared" si="17"/>
        <v/>
      </c>
      <c r="H43" s="24"/>
      <c r="I43" s="1">
        <v>8</v>
      </c>
      <c r="J43" s="85">
        <f>ROUND($G$35/8,-3)</f>
        <v>61000</v>
      </c>
      <c r="K43" s="24"/>
      <c r="L43" s="56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3.25" customHeight="1">
      <c r="A44" s="24"/>
      <c r="B44" s="1" t="s">
        <v>12</v>
      </c>
      <c r="C44" s="6">
        <f>SUM(C38:C43)</f>
        <v>337610</v>
      </c>
      <c r="D44" s="6">
        <f>SUM(D38:D43)</f>
        <v>120750</v>
      </c>
      <c r="E44" s="96">
        <f>SUM(E38:E43)</f>
        <v>28000</v>
      </c>
      <c r="F44" s="97"/>
      <c r="G44" s="7">
        <f>ROUNDDOWN(SUM(G38:G43),0)</f>
        <v>486200</v>
      </c>
      <c r="H44" s="24"/>
      <c r="I44" s="1" t="s">
        <v>12</v>
      </c>
      <c r="J44" s="84">
        <f>SUM(J36:J43)</f>
        <v>486200</v>
      </c>
      <c r="K44" s="82" t="s">
        <v>73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3.25" customHeight="1">
      <c r="A45" s="24"/>
      <c r="B45" s="24"/>
      <c r="C45" s="24"/>
      <c r="D45" s="24"/>
      <c r="E45" s="24"/>
      <c r="F45" s="24"/>
      <c r="G45" s="24"/>
      <c r="H45" s="24"/>
      <c r="I45" s="81" t="s">
        <v>74</v>
      </c>
      <c r="J45" s="25"/>
      <c r="K45" s="72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</sheetData>
  <mergeCells count="29">
    <mergeCell ref="R12:S12"/>
    <mergeCell ref="E13:F13"/>
    <mergeCell ref="L13:M13"/>
    <mergeCell ref="N13:O13"/>
    <mergeCell ref="A1:Z1"/>
    <mergeCell ref="E11:F11"/>
    <mergeCell ref="L11:M11"/>
    <mergeCell ref="N11:O11"/>
    <mergeCell ref="P11:Q11"/>
    <mergeCell ref="R11:S11"/>
    <mergeCell ref="E34:F34"/>
    <mergeCell ref="E12:F12"/>
    <mergeCell ref="L12:M12"/>
    <mergeCell ref="N12:O12"/>
    <mergeCell ref="P12:Q12"/>
    <mergeCell ref="E14:F14"/>
    <mergeCell ref="E15:F15"/>
    <mergeCell ref="E31:F31"/>
    <mergeCell ref="E32:F32"/>
    <mergeCell ref="E33:F33"/>
    <mergeCell ref="E42:F42"/>
    <mergeCell ref="E43:F43"/>
    <mergeCell ref="E44:F44"/>
    <mergeCell ref="E35:F35"/>
    <mergeCell ref="E37:F37"/>
    <mergeCell ref="E38:F38"/>
    <mergeCell ref="E39:F39"/>
    <mergeCell ref="E40:F40"/>
    <mergeCell ref="E41:F41"/>
  </mergeCells>
  <phoneticPr fontId="2"/>
  <pageMargins left="0.51181102362204722" right="0.51181102362204722" top="0.74803149606299213" bottom="0.74803149606299213" header="0.31496062992125984" footer="0.31496062992125984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5</xdr:col>
                    <xdr:colOff>200025</xdr:colOff>
                    <xdr:row>3</xdr:row>
                    <xdr:rowOff>19050</xdr:rowOff>
                  </from>
                  <to>
                    <xdr:col>5</xdr:col>
                    <xdr:colOff>419100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0</xdr:rowOff>
                  </from>
                  <to>
                    <xdr:col>5</xdr:col>
                    <xdr:colOff>428625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0</xdr:rowOff>
                  </from>
                  <to>
                    <xdr:col>5</xdr:col>
                    <xdr:colOff>428625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0</xdr:rowOff>
                  </from>
                  <to>
                    <xdr:col>5</xdr:col>
                    <xdr:colOff>428625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0</xdr:rowOff>
                  </from>
                  <to>
                    <xdr:col>5</xdr:col>
                    <xdr:colOff>428625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0</xdr:rowOff>
                  </from>
                  <to>
                    <xdr:col>5</xdr:col>
                    <xdr:colOff>428625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3</xdr:row>
                    <xdr:rowOff>9525</xdr:rowOff>
                  </from>
                  <to>
                    <xdr:col>4</xdr:col>
                    <xdr:colOff>428625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0</xdr:rowOff>
                  </from>
                  <to>
                    <xdr:col>4</xdr:col>
                    <xdr:colOff>428625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0</xdr:rowOff>
                  </from>
                  <to>
                    <xdr:col>4</xdr:col>
                    <xdr:colOff>428625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0</xdr:rowOff>
                  </from>
                  <to>
                    <xdr:col>4</xdr:col>
                    <xdr:colOff>428625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0</xdr:rowOff>
                  </from>
                  <to>
                    <xdr:col>4</xdr:col>
                    <xdr:colOff>428625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0</xdr:rowOff>
                  </from>
                  <to>
                    <xdr:col>4</xdr:col>
                    <xdr:colOff>428625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国民健康保険税　試算シート</vt:lpstr>
      <vt:lpstr>入力例（入力箇所は赤字で表示）</vt:lpstr>
      <vt:lpstr>'国民健康保険税　試算シート'!Print_Area</vt:lpstr>
      <vt:lpstr>'入力例（入力箇所は赤字で表示）'!Print_Area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U0562</dc:creator>
  <cp:lastModifiedBy>鈴木　紫音</cp:lastModifiedBy>
  <cp:lastPrinted>2023-01-24T07:22:35Z</cp:lastPrinted>
  <dcterms:created xsi:type="dcterms:W3CDTF">2022-02-08T01:06:40Z</dcterms:created>
  <dcterms:modified xsi:type="dcterms:W3CDTF">2025-03-19T00:26:55Z</dcterms:modified>
</cp:coreProperties>
</file>